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akunzner/Desktop/"/>
    </mc:Choice>
  </mc:AlternateContent>
  <xr:revisionPtr revIDLastSave="0" documentId="8_{441022E6-DFD6-B44B-A2B8-2019E2674B1C}" xr6:coauthVersionLast="45" xr6:coauthVersionMax="45" xr10:uidLastSave="{00000000-0000-0000-0000-000000000000}"/>
  <bookViews>
    <workbookView xWindow="2980" yWindow="460" windowWidth="27920" windowHeight="14940" xr2:uid="{172C5084-0AFD-44FC-B23B-578963D84FA1}"/>
  </bookViews>
  <sheets>
    <sheet name="Block 1" sheetId="4" r:id="rId1"/>
    <sheet name="Block 2" sheetId="5" r:id="rId2"/>
    <sheet name="Block 3" sheetId="6" r:id="rId3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5" i="6" l="1"/>
  <c r="E23" i="6"/>
  <c r="E24" i="6" l="1"/>
  <c r="AI53" i="5"/>
  <c r="AI31" i="5"/>
  <c r="E59" i="6"/>
  <c r="E47" i="6"/>
  <c r="E22" i="5"/>
  <c r="E22" i="4"/>
  <c r="E23" i="5" l="1"/>
  <c r="E21" i="4"/>
  <c r="T21" i="4" l="1"/>
  <c r="AI19" i="4"/>
  <c r="BA18" i="4" l="1"/>
  <c r="AY18" i="4"/>
  <c r="W18" i="4"/>
  <c r="U18" i="4"/>
  <c r="F18" i="4"/>
  <c r="H18" i="4"/>
  <c r="AV32" i="4" l="1"/>
  <c r="AV31" i="4"/>
  <c r="AG32" i="5" l="1"/>
  <c r="AG42" i="5"/>
  <c r="AG43" i="5"/>
  <c r="AG53" i="5"/>
  <c r="AG54" i="5"/>
  <c r="AG63" i="5"/>
  <c r="AG64" i="5"/>
  <c r="R32" i="6"/>
  <c r="AG31" i="4" l="1"/>
  <c r="AG30" i="4"/>
  <c r="R32" i="4"/>
  <c r="R31" i="4"/>
  <c r="R30" i="4"/>
  <c r="BC49" i="5"/>
  <c r="Y49" i="5"/>
  <c r="J49" i="5"/>
  <c r="BC60" i="4"/>
  <c r="Y60" i="4"/>
  <c r="J60" i="4"/>
  <c r="AG63" i="4" l="1"/>
  <c r="AI63" i="4" s="1"/>
  <c r="AI30" i="4"/>
  <c r="C33" i="4"/>
  <c r="C32" i="4"/>
  <c r="C43" i="4" s="1"/>
  <c r="E43" i="4" s="1"/>
  <c r="C30" i="4"/>
  <c r="C29" i="4"/>
  <c r="C60" i="6"/>
  <c r="E60" i="6" s="1"/>
  <c r="C48" i="6"/>
  <c r="E48" i="6" s="1"/>
  <c r="C36" i="6"/>
  <c r="E36" i="6" s="1"/>
  <c r="C66" i="5"/>
  <c r="C56" i="5"/>
  <c r="E56" i="5" s="1"/>
  <c r="C45" i="5"/>
  <c r="E45" i="5" s="1"/>
  <c r="C34" i="5"/>
  <c r="E34" i="5" s="1"/>
  <c r="D13" i="4"/>
  <c r="BA62" i="4"/>
  <c r="AY62" i="4"/>
  <c r="W62" i="4"/>
  <c r="U62" i="4"/>
  <c r="H62" i="4"/>
  <c r="F62" i="4"/>
  <c r="C77" i="4" l="1"/>
  <c r="E77" i="4" s="1"/>
  <c r="E32" i="4"/>
  <c r="C54" i="4"/>
  <c r="E54" i="4" s="1"/>
  <c r="C66" i="4"/>
  <c r="E66" i="4" s="1"/>
  <c r="E65" i="5"/>
  <c r="E66" i="5"/>
  <c r="E67" i="4"/>
  <c r="E55" i="4"/>
  <c r="E44" i="4"/>
  <c r="E33" i="4"/>
  <c r="AL18" i="4"/>
  <c r="AJ18" i="4"/>
  <c r="AV76" i="4"/>
  <c r="AV77" i="4"/>
  <c r="AG76" i="4"/>
  <c r="U51" i="4" l="1"/>
  <c r="F29" i="4"/>
  <c r="AV63" i="5"/>
  <c r="AV62" i="5"/>
  <c r="AG62" i="5"/>
  <c r="R64" i="5"/>
  <c r="C63" i="5"/>
  <c r="C64" i="5"/>
  <c r="BA74" i="4"/>
  <c r="AY74" i="4"/>
  <c r="W74" i="4"/>
  <c r="U74" i="4"/>
  <c r="E78" i="4"/>
  <c r="H76" i="4"/>
  <c r="H65" i="4"/>
  <c r="F76" i="4"/>
  <c r="F65" i="4"/>
  <c r="H74" i="4"/>
  <c r="F74" i="4"/>
  <c r="T22" i="6"/>
  <c r="AG56" i="6"/>
  <c r="AG44" i="6"/>
  <c r="AG32" i="6"/>
  <c r="C66" i="6" l="1"/>
  <c r="AV58" i="6"/>
  <c r="C61" i="6"/>
  <c r="R58" i="6"/>
  <c r="T58" i="6" s="1"/>
  <c r="R57" i="6"/>
  <c r="C59" i="6"/>
  <c r="AG57" i="6"/>
  <c r="R56" i="6"/>
  <c r="AV57" i="6"/>
  <c r="C58" i="6"/>
  <c r="AV46" i="6"/>
  <c r="C49" i="6"/>
  <c r="R46" i="6"/>
  <c r="T46" i="6" s="1"/>
  <c r="R45" i="6"/>
  <c r="C47" i="6"/>
  <c r="AG45" i="6"/>
  <c r="R44" i="6"/>
  <c r="AV45" i="6"/>
  <c r="C46" i="6"/>
  <c r="AV34" i="6"/>
  <c r="C37" i="6"/>
  <c r="R34" i="6"/>
  <c r="T34" i="6" s="1"/>
  <c r="R33" i="6"/>
  <c r="C35" i="6"/>
  <c r="AG33" i="6"/>
  <c r="AV33" i="6"/>
  <c r="C34" i="6"/>
  <c r="E6" i="6"/>
  <c r="T22" i="5" l="1"/>
  <c r="AV65" i="5"/>
  <c r="C67" i="5"/>
  <c r="R65" i="5"/>
  <c r="C65" i="5"/>
  <c r="R63" i="5"/>
  <c r="AV64" i="5"/>
  <c r="C62" i="5"/>
  <c r="AV55" i="5"/>
  <c r="C57" i="5"/>
  <c r="R55" i="5"/>
  <c r="T55" i="5" s="1"/>
  <c r="C54" i="5"/>
  <c r="C55" i="5"/>
  <c r="E55" i="5" s="1"/>
  <c r="R53" i="5"/>
  <c r="AV54" i="5"/>
  <c r="R54" i="5"/>
  <c r="C52" i="5"/>
  <c r="C51" i="5"/>
  <c r="F10" i="6"/>
  <c r="H10" i="6"/>
  <c r="U18" i="6" s="1"/>
  <c r="D10" i="6"/>
  <c r="AV44" i="5"/>
  <c r="C46" i="5"/>
  <c r="R44" i="5"/>
  <c r="T44" i="5" s="1"/>
  <c r="C43" i="5"/>
  <c r="C44" i="5"/>
  <c r="E44" i="5" s="1"/>
  <c r="R42" i="5"/>
  <c r="AV43" i="5"/>
  <c r="R43" i="5"/>
  <c r="C40" i="5"/>
  <c r="AV33" i="5"/>
  <c r="R33" i="5"/>
  <c r="T33" i="5" s="1"/>
  <c r="C32" i="5"/>
  <c r="C33" i="5"/>
  <c r="E33" i="5" s="1"/>
  <c r="R31" i="5"/>
  <c r="AV32" i="5"/>
  <c r="R32" i="5"/>
  <c r="E6" i="5"/>
  <c r="F11" i="4"/>
  <c r="F12" i="4"/>
  <c r="W19" i="4" s="1"/>
  <c r="D11" i="4"/>
  <c r="D12" i="4"/>
  <c r="F19" i="4" l="1"/>
  <c r="H19" i="4"/>
  <c r="U19" i="4"/>
  <c r="W75" i="4"/>
  <c r="W52" i="4"/>
  <c r="W30" i="4"/>
  <c r="U52" i="4"/>
  <c r="U30" i="4"/>
  <c r="U75" i="4"/>
  <c r="W64" i="4"/>
  <c r="W41" i="4"/>
  <c r="U64" i="4"/>
  <c r="U41" i="4"/>
  <c r="H75" i="4"/>
  <c r="H41" i="4"/>
  <c r="F75" i="4"/>
  <c r="F64" i="4"/>
  <c r="F52" i="4"/>
  <c r="H52" i="4"/>
  <c r="F30" i="4"/>
  <c r="F41" i="4"/>
  <c r="H64" i="4"/>
  <c r="H30" i="4"/>
  <c r="U68" i="6"/>
  <c r="U69" i="6"/>
  <c r="AJ18" i="6"/>
  <c r="U66" i="6"/>
  <c r="U67" i="6"/>
  <c r="AL74" i="4"/>
  <c r="AL62" i="4"/>
  <c r="AJ62" i="4"/>
  <c r="AJ74" i="4"/>
  <c r="D11" i="6"/>
  <c r="AL54" i="6"/>
  <c r="AL18" i="6"/>
  <c r="F43" i="6"/>
  <c r="F19" i="6"/>
  <c r="H55" i="6"/>
  <c r="H31" i="6"/>
  <c r="AJ54" i="6"/>
  <c r="AL30" i="6"/>
  <c r="F55" i="6"/>
  <c r="F31" i="6"/>
  <c r="AJ42" i="6"/>
  <c r="AJ30" i="6"/>
  <c r="H43" i="6"/>
  <c r="H19" i="6"/>
  <c r="AL42" i="6"/>
  <c r="AY54" i="6"/>
  <c r="AY30" i="6"/>
  <c r="F56" i="6"/>
  <c r="F44" i="6"/>
  <c r="H32" i="6"/>
  <c r="F20" i="6"/>
  <c r="H57" i="6"/>
  <c r="H45" i="6"/>
  <c r="H33" i="6"/>
  <c r="H21" i="6"/>
  <c r="AY42" i="6"/>
  <c r="AY18" i="6"/>
  <c r="F57" i="6"/>
  <c r="F45" i="6"/>
  <c r="F33" i="6"/>
  <c r="F21" i="6"/>
  <c r="BA54" i="6"/>
  <c r="BA30" i="6"/>
  <c r="H56" i="6"/>
  <c r="H44" i="6"/>
  <c r="F32" i="6"/>
  <c r="H20" i="6"/>
  <c r="BA42" i="6"/>
  <c r="BA18" i="6"/>
  <c r="F12" i="6"/>
  <c r="H11" i="6"/>
  <c r="F70" i="6"/>
  <c r="U55" i="6"/>
  <c r="U43" i="6"/>
  <c r="W31" i="6"/>
  <c r="U19" i="6"/>
  <c r="W54" i="6"/>
  <c r="W43" i="6"/>
  <c r="W30" i="6"/>
  <c r="U42" i="6"/>
  <c r="U31" i="6"/>
  <c r="U54" i="6"/>
  <c r="W42" i="6"/>
  <c r="U30" i="6"/>
  <c r="W55" i="6"/>
  <c r="W19" i="6"/>
  <c r="H30" i="6"/>
  <c r="H42" i="6"/>
  <c r="F30" i="6"/>
  <c r="H54" i="6"/>
  <c r="F54" i="6"/>
  <c r="F11" i="6"/>
  <c r="U20" i="6" s="1"/>
  <c r="F13" i="6"/>
  <c r="AY20" i="6" s="1"/>
  <c r="F18" i="6"/>
  <c r="D12" i="6"/>
  <c r="H18" i="6"/>
  <c r="D13" i="6"/>
  <c r="F42" i="6"/>
  <c r="W18" i="6"/>
  <c r="H12" i="6"/>
  <c r="F10" i="5"/>
  <c r="H10" i="5"/>
  <c r="H12" i="5" s="1"/>
  <c r="D10" i="5"/>
  <c r="F18" i="5" s="1"/>
  <c r="C78" i="4"/>
  <c r="C67" i="4"/>
  <c r="AV65" i="4"/>
  <c r="C55" i="4"/>
  <c r="AV53" i="4"/>
  <c r="C44" i="4"/>
  <c r="AV42" i="4"/>
  <c r="R76" i="4"/>
  <c r="R75" i="4"/>
  <c r="R65" i="4"/>
  <c r="R64" i="4"/>
  <c r="R53" i="4"/>
  <c r="R52" i="4"/>
  <c r="R42" i="4"/>
  <c r="R41" i="4"/>
  <c r="R77" i="4"/>
  <c r="AG75" i="4"/>
  <c r="AI75" i="4" s="1"/>
  <c r="R66" i="4"/>
  <c r="AV66" i="4"/>
  <c r="AV54" i="4"/>
  <c r="R54" i="4"/>
  <c r="T54" i="4" s="1"/>
  <c r="AV43" i="4"/>
  <c r="R43" i="4"/>
  <c r="T43" i="4" s="1"/>
  <c r="AG52" i="4"/>
  <c r="AI52" i="4" s="1"/>
  <c r="AG41" i="4"/>
  <c r="AI41" i="4" s="1"/>
  <c r="T32" i="4"/>
  <c r="BA51" i="4"/>
  <c r="AY51" i="4"/>
  <c r="BA40" i="4"/>
  <c r="AY40" i="4"/>
  <c r="BA29" i="4"/>
  <c r="AY29" i="4"/>
  <c r="U45" i="6" l="1"/>
  <c r="U21" i="6"/>
  <c r="W57" i="6"/>
  <c r="W33" i="6"/>
  <c r="U57" i="6"/>
  <c r="U33" i="6"/>
  <c r="W45" i="6"/>
  <c r="W21" i="6"/>
  <c r="AJ44" i="6"/>
  <c r="AJ20" i="6"/>
  <c r="AL56" i="6"/>
  <c r="AL32" i="6"/>
  <c r="AJ56" i="6"/>
  <c r="AJ32" i="6"/>
  <c r="AL44" i="6"/>
  <c r="AL20" i="6"/>
  <c r="T77" i="4"/>
  <c r="T66" i="4"/>
  <c r="F20" i="5"/>
  <c r="AY18" i="5"/>
  <c r="U41" i="5"/>
  <c r="U18" i="5"/>
  <c r="U40" i="5"/>
  <c r="W62" i="5"/>
  <c r="U51" i="5"/>
  <c r="U62" i="5"/>
  <c r="W51" i="5"/>
  <c r="F62" i="5"/>
  <c r="H62" i="5"/>
  <c r="F51" i="5"/>
  <c r="H40" i="5"/>
  <c r="H51" i="5"/>
  <c r="BA62" i="5"/>
  <c r="H53" i="5"/>
  <c r="AY62" i="5"/>
  <c r="F53" i="5"/>
  <c r="AY51" i="5"/>
  <c r="F63" i="5"/>
  <c r="H63" i="5"/>
  <c r="BA51" i="5"/>
  <c r="AY40" i="5"/>
  <c r="AY30" i="5"/>
  <c r="AY19" i="5"/>
  <c r="BA41" i="5"/>
  <c r="BA30" i="5"/>
  <c r="BA19" i="5"/>
  <c r="AY41" i="5"/>
  <c r="BA29" i="5"/>
  <c r="BA18" i="5"/>
  <c r="BA40" i="5"/>
  <c r="AY29" i="5"/>
  <c r="U44" i="6"/>
  <c r="W44" i="6"/>
  <c r="U32" i="6"/>
  <c r="U56" i="6"/>
  <c r="W20" i="6"/>
  <c r="W56" i="6"/>
  <c r="W32" i="6"/>
  <c r="AY56" i="6"/>
  <c r="AY32" i="6"/>
  <c r="AY44" i="6"/>
  <c r="BA56" i="6"/>
  <c r="BA32" i="6"/>
  <c r="BA44" i="6"/>
  <c r="BA20" i="6"/>
  <c r="F40" i="5"/>
  <c r="H41" i="5"/>
  <c r="F41" i="5"/>
  <c r="W19" i="5"/>
  <c r="W40" i="5"/>
  <c r="U19" i="5"/>
  <c r="W41" i="5"/>
  <c r="W29" i="5"/>
  <c r="W18" i="5"/>
  <c r="U29" i="5"/>
  <c r="H31" i="5"/>
  <c r="F31" i="5"/>
  <c r="H42" i="5"/>
  <c r="H20" i="5"/>
  <c r="F42" i="5"/>
  <c r="H29" i="5"/>
  <c r="H18" i="5"/>
  <c r="F29" i="5"/>
  <c r="F19" i="5"/>
  <c r="H19" i="5"/>
  <c r="F11" i="5"/>
  <c r="F12" i="5"/>
  <c r="F13" i="5"/>
  <c r="AY20" i="5" s="1"/>
  <c r="H11" i="5"/>
  <c r="AL20" i="5" s="1"/>
  <c r="D11" i="5"/>
  <c r="D12" i="5"/>
  <c r="D13" i="5"/>
  <c r="AJ18" i="5" s="1"/>
  <c r="W51" i="4"/>
  <c r="W40" i="4"/>
  <c r="W29" i="4"/>
  <c r="U40" i="4"/>
  <c r="U29" i="4"/>
  <c r="H53" i="4"/>
  <c r="F53" i="4"/>
  <c r="H42" i="4"/>
  <c r="F42" i="4"/>
  <c r="H31" i="4"/>
  <c r="F31" i="4"/>
  <c r="H51" i="4"/>
  <c r="F51" i="4"/>
  <c r="F40" i="4"/>
  <c r="H40" i="4"/>
  <c r="C63" i="4"/>
  <c r="H29" i="4"/>
  <c r="C52" i="4"/>
  <c r="AG53" i="4"/>
  <c r="C64" i="4"/>
  <c r="AG65" i="4"/>
  <c r="C75" i="4"/>
  <c r="C74" i="4"/>
  <c r="C62" i="4"/>
  <c r="C51" i="4"/>
  <c r="C40" i="4"/>
  <c r="C41" i="4"/>
  <c r="AG42" i="4"/>
  <c r="AJ42" i="5" l="1"/>
  <c r="AL63" i="5"/>
  <c r="AJ63" i="5"/>
  <c r="W63" i="5"/>
  <c r="W42" i="5"/>
  <c r="W20" i="5"/>
  <c r="U63" i="5"/>
  <c r="U42" i="5"/>
  <c r="U20" i="5"/>
  <c r="W53" i="5"/>
  <c r="W31" i="5"/>
  <c r="U53" i="5"/>
  <c r="U31" i="5"/>
  <c r="AL42" i="5"/>
  <c r="AJ20" i="5"/>
  <c r="W32" i="5"/>
  <c r="U54" i="5"/>
  <c r="U32" i="5"/>
  <c r="W43" i="5"/>
  <c r="W64" i="5"/>
  <c r="W21" i="5"/>
  <c r="U64" i="5"/>
  <c r="U43" i="5"/>
  <c r="U21" i="5"/>
  <c r="W54" i="5"/>
  <c r="AJ62" i="5"/>
  <c r="AL62" i="5"/>
  <c r="AJ51" i="5"/>
  <c r="AL40" i="5"/>
  <c r="AL29" i="5"/>
  <c r="AJ52" i="5"/>
  <c r="AJ40" i="5"/>
  <c r="AJ29" i="5"/>
  <c r="AL52" i="5"/>
  <c r="AL30" i="5"/>
  <c r="AL18" i="5"/>
  <c r="AL51" i="5"/>
  <c r="AJ30" i="5"/>
  <c r="BA63" i="5"/>
  <c r="AY63" i="5"/>
  <c r="BA53" i="5"/>
  <c r="AY53" i="5"/>
  <c r="BA42" i="5"/>
  <c r="BA20" i="5"/>
  <c r="BA31" i="5"/>
  <c r="AY42" i="5"/>
  <c r="AY31" i="5"/>
  <c r="AL51" i="4"/>
  <c r="AL29" i="4"/>
  <c r="AJ51" i="4"/>
  <c r="AJ29" i="4"/>
  <c r="AL40" i="4"/>
  <c r="AJ40" i="4"/>
  <c r="H12" i="4"/>
  <c r="H11" i="4"/>
  <c r="F13" i="4"/>
  <c r="E6" i="4"/>
  <c r="BA19" i="4" l="1"/>
  <c r="AY19" i="4"/>
  <c r="BA75" i="4"/>
  <c r="BA64" i="4"/>
  <c r="AY75" i="4"/>
  <c r="AY64" i="4"/>
  <c r="BA52" i="4"/>
  <c r="BA30" i="4"/>
  <c r="AY41" i="4"/>
  <c r="AY52" i="4"/>
  <c r="AY30" i="4"/>
  <c r="BA41" i="4"/>
</calcChain>
</file>

<file path=xl/sharedStrings.xml><?xml version="1.0" encoding="utf-8"?>
<sst xmlns="http://schemas.openxmlformats.org/spreadsheetml/2006/main" count="1952" uniqueCount="130">
  <si>
    <t>Dips</t>
  </si>
  <si>
    <t>Beinbeuger</t>
  </si>
  <si>
    <t>Gürtel</t>
  </si>
  <si>
    <t>-</t>
  </si>
  <si>
    <t>e1RM</t>
  </si>
  <si>
    <t>RPE</t>
  </si>
  <si>
    <t>Notizen</t>
  </si>
  <si>
    <t>Bewegtes Gewicht</t>
  </si>
  <si>
    <t>Woche 1</t>
  </si>
  <si>
    <t>Gürtel, Sleeves</t>
  </si>
  <si>
    <t>Woche 4</t>
  </si>
  <si>
    <t>Woche 3</t>
  </si>
  <si>
    <t>Woche 2</t>
  </si>
  <si>
    <t>Beinbeuger sitzend</t>
  </si>
  <si>
    <t>Beinbeuger liegend</t>
  </si>
  <si>
    <t>Latzug</t>
  </si>
  <si>
    <t>Latzug enger UG</t>
  </si>
  <si>
    <t>Latzug enger NG</t>
  </si>
  <si>
    <t>Facepulls</t>
  </si>
  <si>
    <t>Optional: Bizeps</t>
  </si>
  <si>
    <t>Optional: Trizeps</t>
  </si>
  <si>
    <t>Beinpresse einbeinig</t>
  </si>
  <si>
    <t>LH/KH Ausfallschritte</t>
  </si>
  <si>
    <t>KH Bulgarian Split Squats</t>
  </si>
  <si>
    <t>Hip Thrusts</t>
  </si>
  <si>
    <t>Überzüge am Kabel</t>
  </si>
  <si>
    <t>10-12</t>
  </si>
  <si>
    <t>Gewicht (kg)</t>
  </si>
  <si>
    <t>7-8</t>
  </si>
  <si>
    <t>6-7</t>
  </si>
  <si>
    <t>401 Tempo: 4 Sek. Exzentrik, keine Pause, explosive Konzentrik</t>
  </si>
  <si>
    <t>90-95% von Top Satz</t>
  </si>
  <si>
    <t>8-9</t>
  </si>
  <si>
    <t>6-8</t>
  </si>
  <si>
    <t>2-3</t>
  </si>
  <si>
    <t>8-12</t>
  </si>
  <si>
    <t>3-4</t>
  </si>
  <si>
    <t>Gürtel, ggf. Zughilfen</t>
  </si>
  <si>
    <t>8-10</t>
  </si>
  <si>
    <t>Woche 5 / Deload</t>
  </si>
  <si>
    <t>Woche 5 / Taper</t>
  </si>
  <si>
    <t>Montag</t>
  </si>
  <si>
    <t>Mittwoch</t>
  </si>
  <si>
    <t>Donnerstag &amp; Freitag</t>
  </si>
  <si>
    <t>Opener</t>
  </si>
  <si>
    <t>~3-4% unter Opener</t>
  </si>
  <si>
    <t>5-6</t>
  </si>
  <si>
    <t>Wettkampf!</t>
  </si>
  <si>
    <t>Für die Versuchsauswahl bietet sich zur ersten Orientierung an:</t>
  </si>
  <si>
    <t>2. Versuch: ~94-96%  (des angestrebten 1RM's)</t>
  </si>
  <si>
    <t>3. Versuch: ~98-100%  (des angestrebten 1RM's)</t>
  </si>
  <si>
    <t>1. Versuch: ~89-91%  (des angestrebten 1RM's*)</t>
  </si>
  <si>
    <t>e1RM's</t>
  </si>
  <si>
    <t>*als Richtwert: ca. 1-3% mehr als das bisherige e1RM</t>
  </si>
  <si>
    <t>Wdh.</t>
  </si>
  <si>
    <t>Kilo</t>
  </si>
  <si>
    <t>ggf. Zughilfen</t>
  </si>
  <si>
    <t>ggf. HGB</t>
  </si>
  <si>
    <t>Gürtel, Sleeves, ggf. HGB</t>
  </si>
  <si>
    <t>Gürtel, ggf. HGB</t>
  </si>
  <si>
    <t>LH Seal Rows</t>
  </si>
  <si>
    <t>KH Seal Rows</t>
  </si>
  <si>
    <t>1RM RECHNER</t>
  </si>
  <si>
    <t>Tatsächliche RPE</t>
  </si>
  <si>
    <t>Intro Woche</t>
  </si>
  <si>
    <t>KNIEBEUGE</t>
  </si>
  <si>
    <t>BANKDRÜCKEN</t>
  </si>
  <si>
    <t>KREUZHEBEN</t>
  </si>
  <si>
    <t>Kniebeuge - Variation</t>
  </si>
  <si>
    <t>Bankdrücken - Variation</t>
  </si>
  <si>
    <t>Kreuzheben - Variation</t>
  </si>
  <si>
    <t>2ct. WK-Kniebeuge</t>
  </si>
  <si>
    <t>3ct. WK-Bankdrücken</t>
  </si>
  <si>
    <t>Rumänisches Kreuzheben</t>
  </si>
  <si>
    <t>401 WK-Kniebeuge</t>
  </si>
  <si>
    <t>Spoto Bankdrücken</t>
  </si>
  <si>
    <t>Gestrecktes Kreuzheben</t>
  </si>
  <si>
    <t>Rudern</t>
  </si>
  <si>
    <t>Oberkörper Drückbewegung</t>
  </si>
  <si>
    <t>Unterkörperübung, unilateral</t>
  </si>
  <si>
    <t>Kreuzheben im Reißgriff</t>
  </si>
  <si>
    <t>LH Schulterdrücken</t>
  </si>
  <si>
    <t>KH Rudern</t>
  </si>
  <si>
    <t>KH Schulterdrücken</t>
  </si>
  <si>
    <t>Rudermaschine</t>
  </si>
  <si>
    <t>KH Bankdrücken</t>
  </si>
  <si>
    <t>KH Schrägbankddrücken</t>
  </si>
  <si>
    <t>Hintere Schulter</t>
  </si>
  <si>
    <t>Vorgebeugtes Seitheben KH</t>
  </si>
  <si>
    <t>Vorgebeugtes Seitheben Maschine</t>
  </si>
  <si>
    <t>Vorgebeugtes Seitheben Kabel</t>
  </si>
  <si>
    <t>Pendlay Rudern</t>
  </si>
  <si>
    <t>WK-Kniebeuge</t>
  </si>
  <si>
    <t>WK-Bankdrücken</t>
  </si>
  <si>
    <t>WK-Kreuzheben</t>
  </si>
  <si>
    <t>Highbar Kniebeuge</t>
  </si>
  <si>
    <t>Optional: Unterarmstütz/Ab Roll</t>
  </si>
  <si>
    <t>1ct. WK-Kreuzheben</t>
  </si>
  <si>
    <t>Defizit WK-Kreuzheben</t>
  </si>
  <si>
    <t>Enges Bankdrücken</t>
  </si>
  <si>
    <t>Wk-Bankdrücken</t>
  </si>
  <si>
    <r>
      <t xml:space="preserve">Aktiven Regeneration: spazieren gehen, lockeres Radfahren, Mobility etc. Alles sollte sehr leicht sein und </t>
    </r>
    <r>
      <rPr>
        <b/>
        <u/>
        <sz val="12"/>
        <color theme="1"/>
        <rFont val="Calibri"/>
        <family val="2"/>
        <scheme val="minor"/>
      </rPr>
      <t>keine</t>
    </r>
    <r>
      <rPr>
        <b/>
        <sz val="12"/>
        <color theme="1"/>
        <rFont val="Calibri"/>
        <family val="2"/>
        <scheme val="minor"/>
      </rPr>
      <t xml:space="preserve"> zusätzliche körperliche Belastung darstellen! Bleibt schlichtweg in Bewegung.</t>
    </r>
  </si>
  <si>
    <t>Rumänisch / Reißgriff</t>
  </si>
  <si>
    <t>10</t>
  </si>
  <si>
    <t>Intro Tag 1</t>
  </si>
  <si>
    <t>Intro Tag 2</t>
  </si>
  <si>
    <t>Intro Tag 3</t>
  </si>
  <si>
    <t>Intro Tag 4</t>
  </si>
  <si>
    <t>W1 Tag 1</t>
  </si>
  <si>
    <t>W2 Tag 1</t>
  </si>
  <si>
    <t>W3 Tag 1</t>
  </si>
  <si>
    <t>W4 Tag 1</t>
  </si>
  <si>
    <t>W5 Tag 1</t>
  </si>
  <si>
    <t>W1 Tag 2</t>
  </si>
  <si>
    <t>W2 Tag 2</t>
  </si>
  <si>
    <t>W3 Tag 2</t>
  </si>
  <si>
    <t>W4 Tag 2</t>
  </si>
  <si>
    <t>W5 Tag 2</t>
  </si>
  <si>
    <t>W1 Tag 3</t>
  </si>
  <si>
    <t>W2 Tag 3</t>
  </si>
  <si>
    <t>W3 Tag 3</t>
  </si>
  <si>
    <t>W4 Tag 3</t>
  </si>
  <si>
    <t>W5 Tag 3</t>
  </si>
  <si>
    <t>W1 Tag 4</t>
  </si>
  <si>
    <t>W2 Tag 4</t>
  </si>
  <si>
    <t>W3 Tag 4</t>
  </si>
  <si>
    <t>W4 Tag 4</t>
  </si>
  <si>
    <t>W5 Tag 4</t>
  </si>
  <si>
    <t>Sätze</t>
  </si>
  <si>
    <t>Ausrüstung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</si>
</sst>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&quot;Kg&quot;"/>
    <numFmt numFmtId="165" formatCode="0\ &quot;Kg&quot;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C00000"/>
        <bgColor indexed="64"/>
      </patternFill>
    </fill>
  </fills>
  <borders count="6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/>
      <bottom style="medium">
        <color rgb="FFFF0000"/>
      </bottom>
      <diagonal/>
    </border>
    <border>
      <left style="medium">
        <color indexed="64"/>
      </left>
      <right style="medium">
        <color rgb="FFEE0000"/>
      </right>
      <top style="medium">
        <color rgb="FFEE0000"/>
      </top>
      <bottom style="medium">
        <color rgb="FFEE0000"/>
      </bottom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/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/>
      <top/>
      <bottom/>
      <diagonal/>
    </border>
    <border>
      <left/>
      <right style="medium">
        <color rgb="FFC00000"/>
      </right>
      <top/>
      <bottom/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  <border>
      <left style="medium">
        <color indexed="64"/>
      </left>
      <right style="hair">
        <color rgb="FF8A0000"/>
      </right>
      <top style="medium">
        <color indexed="64"/>
      </top>
      <bottom/>
      <diagonal/>
    </border>
    <border>
      <left style="medium">
        <color indexed="64"/>
      </left>
      <right style="hair">
        <color rgb="FF8A0000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FF0000"/>
      </right>
      <top style="medium">
        <color rgb="FFFF0000"/>
      </top>
      <bottom/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indexed="64"/>
      </bottom>
      <diagonal/>
    </border>
    <border>
      <left/>
      <right style="thin">
        <color indexed="64"/>
      </right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 style="thin">
        <color indexed="64"/>
      </left>
      <right/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 style="thin">
        <color indexed="64"/>
      </right>
      <top/>
      <bottom/>
      <diagonal/>
    </border>
    <border>
      <left/>
      <right style="medium">
        <color theme="1"/>
      </right>
      <top style="medium">
        <color indexed="64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theme="1"/>
      </left>
      <right style="medium">
        <color rgb="FFFF0000"/>
      </right>
      <top style="medium">
        <color rgb="FFFF0000"/>
      </top>
      <bottom/>
      <diagonal/>
    </border>
    <border>
      <left style="medium">
        <color theme="1"/>
      </left>
      <right style="medium">
        <color rgb="FFFF3300"/>
      </right>
      <top style="medium">
        <color rgb="FFFF3300"/>
      </top>
      <bottom style="medium">
        <color rgb="FFFF3300"/>
      </bottom>
      <diagonal/>
    </border>
    <border>
      <left style="medium">
        <color theme="1"/>
      </left>
      <right style="thin">
        <color indexed="64"/>
      </right>
      <top/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rgb="FFFF0000"/>
      </right>
      <top/>
      <bottom style="medium">
        <color rgb="FFFF0000"/>
      </bottom>
      <diagonal/>
    </border>
    <border>
      <left style="hair">
        <color rgb="FF8A0000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FF3737"/>
      </right>
      <top style="medium">
        <color rgb="FFFF3737"/>
      </top>
      <bottom style="medium">
        <color rgb="FFFF3737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3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3" fillId="4" borderId="14" xfId="0" applyNumberFormat="1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center"/>
    </xf>
    <xf numFmtId="0" fontId="3" fillId="2" borderId="15" xfId="0" applyNumberFormat="1" applyFont="1" applyFill="1" applyBorder="1" applyAlignment="1">
      <alignment horizontal="center"/>
    </xf>
    <xf numFmtId="0" fontId="3" fillId="2" borderId="12" xfId="0" applyNumberFormat="1" applyFont="1" applyFill="1" applyBorder="1" applyAlignment="1">
      <alignment horizontal="center"/>
    </xf>
    <xf numFmtId="0" fontId="3" fillId="2" borderId="16" xfId="0" applyNumberFormat="1" applyFont="1" applyFill="1" applyBorder="1" applyAlignment="1">
      <alignment horizontal="center" wrapText="1"/>
    </xf>
    <xf numFmtId="0" fontId="3" fillId="2" borderId="0" xfId="0" applyNumberFormat="1" applyFont="1" applyFill="1" applyBorder="1" applyAlignment="1">
      <alignment horizontal="center" wrapText="1"/>
    </xf>
    <xf numFmtId="0" fontId="3" fillId="2" borderId="10" xfId="0" applyNumberFormat="1" applyFont="1" applyFill="1" applyBorder="1" applyAlignment="1">
      <alignment horizontal="center" wrapText="1"/>
    </xf>
    <xf numFmtId="0" fontId="3" fillId="4" borderId="16" xfId="0" applyNumberFormat="1" applyFont="1" applyFill="1" applyBorder="1" applyAlignment="1">
      <alignment horizontal="center" wrapText="1"/>
    </xf>
    <xf numFmtId="0" fontId="3" fillId="4" borderId="0" xfId="0" applyNumberFormat="1" applyFont="1" applyFill="1" applyBorder="1" applyAlignment="1">
      <alignment horizontal="center" wrapText="1"/>
    </xf>
    <xf numFmtId="0" fontId="3" fillId="4" borderId="10" xfId="0" applyNumberFormat="1" applyFont="1" applyFill="1" applyBorder="1" applyAlignment="1">
      <alignment horizontal="center" wrapText="1"/>
    </xf>
    <xf numFmtId="0" fontId="3" fillId="2" borderId="19" xfId="0" applyNumberFormat="1" applyFont="1" applyFill="1" applyBorder="1" applyAlignment="1">
      <alignment horizontal="center" wrapText="1"/>
    </xf>
    <xf numFmtId="0" fontId="3" fillId="2" borderId="7" xfId="0" applyNumberFormat="1" applyFont="1" applyFill="1" applyBorder="1" applyAlignment="1">
      <alignment horizontal="center" wrapText="1"/>
    </xf>
    <xf numFmtId="0" fontId="3" fillId="2" borderId="8" xfId="0" applyNumberFormat="1" applyFont="1" applyFill="1" applyBorder="1" applyAlignment="1">
      <alignment horizontal="center"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0" fillId="0" borderId="0" xfId="0" applyProtection="1">
      <protection hidden="1"/>
    </xf>
    <xf numFmtId="16" fontId="3" fillId="2" borderId="1" xfId="0" quotePrefix="1" applyNumberFormat="1" applyFont="1" applyFill="1" applyBorder="1" applyAlignment="1">
      <alignment horizontal="center"/>
    </xf>
    <xf numFmtId="0" fontId="3" fillId="4" borderId="1" xfId="0" quotePrefix="1" applyNumberFormat="1" applyFont="1" applyFill="1" applyBorder="1" applyAlignment="1">
      <alignment horizontal="center"/>
    </xf>
    <xf numFmtId="1" fontId="3" fillId="2" borderId="16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left"/>
    </xf>
    <xf numFmtId="0" fontId="3" fillId="2" borderId="1" xfId="0" quotePrefix="1" applyNumberFormat="1" applyFont="1" applyFill="1" applyBorder="1" applyAlignment="1">
      <alignment horizontal="center"/>
    </xf>
    <xf numFmtId="1" fontId="3" fillId="2" borderId="16" xfId="0" applyNumberFormat="1" applyFont="1" applyFill="1" applyBorder="1" applyAlignment="1"/>
    <xf numFmtId="1" fontId="3" fillId="4" borderId="16" xfId="0" applyNumberFormat="1" applyFont="1" applyFill="1" applyBorder="1" applyAlignment="1"/>
    <xf numFmtId="1" fontId="3" fillId="4" borderId="1" xfId="0" applyNumberFormat="1" applyFont="1" applyFill="1" applyBorder="1" applyAlignment="1">
      <alignment horizontal="left"/>
    </xf>
    <xf numFmtId="1" fontId="3" fillId="2" borderId="12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1" fontId="3" fillId="2" borderId="16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1" fontId="3" fillId="4" borderId="16" xfId="0" applyNumberFormat="1" applyFont="1" applyFill="1" applyBorder="1" applyAlignment="1">
      <alignment horizontal="right"/>
    </xf>
    <xf numFmtId="1" fontId="3" fillId="2" borderId="19" xfId="0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3" fillId="2" borderId="24" xfId="0" applyNumberFormat="1" applyFont="1" applyFill="1" applyBorder="1" applyAlignment="1">
      <alignment horizontal="center"/>
    </xf>
    <xf numFmtId="0" fontId="3" fillId="4" borderId="24" xfId="0" applyNumberFormat="1" applyFont="1" applyFill="1" applyBorder="1" applyAlignment="1">
      <alignment horizontal="center"/>
    </xf>
    <xf numFmtId="1" fontId="0" fillId="0" borderId="0" xfId="0" applyNumberFormat="1" applyFill="1" applyBorder="1" applyAlignment="1">
      <alignment horizontal="right"/>
    </xf>
    <xf numFmtId="1" fontId="0" fillId="0" borderId="0" xfId="0" applyNumberFormat="1" applyFill="1" applyBorder="1" applyAlignment="1">
      <alignment horizontal="left"/>
    </xf>
    <xf numFmtId="0" fontId="3" fillId="2" borderId="16" xfId="0" applyNumberFormat="1" applyFont="1" applyFill="1" applyBorder="1" applyAlignment="1">
      <alignment horizontal="center" wrapText="1"/>
    </xf>
    <xf numFmtId="0" fontId="3" fillId="2" borderId="0" xfId="0" applyNumberFormat="1" applyFont="1" applyFill="1" applyBorder="1" applyAlignment="1">
      <alignment horizontal="center" wrapText="1"/>
    </xf>
    <xf numFmtId="0" fontId="3" fillId="2" borderId="10" xfId="0" applyNumberFormat="1" applyFont="1" applyFill="1" applyBorder="1" applyAlignment="1">
      <alignment horizontal="center" wrapText="1"/>
    </xf>
    <xf numFmtId="0" fontId="0" fillId="4" borderId="1" xfId="0" applyFill="1" applyBorder="1"/>
    <xf numFmtId="0" fontId="0" fillId="2" borderId="0" xfId="0" applyFill="1" applyBorder="1"/>
    <xf numFmtId="0" fontId="0" fillId="2" borderId="25" xfId="0" applyFill="1" applyBorder="1"/>
    <xf numFmtId="1" fontId="0" fillId="0" borderId="0" xfId="0" applyNumberFormat="1" applyFill="1" applyBorder="1"/>
    <xf numFmtId="1" fontId="3" fillId="4" borderId="16" xfId="0" applyNumberFormat="1" applyFont="1" applyFill="1" applyBorder="1" applyAlignment="1">
      <alignment horizontal="center"/>
    </xf>
    <xf numFmtId="1" fontId="3" fillId="2" borderId="19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1" fontId="3" fillId="2" borderId="12" xfId="0" applyNumberFormat="1" applyFont="1" applyFill="1" applyBorder="1" applyAlignment="1">
      <alignment horizontal="center"/>
    </xf>
    <xf numFmtId="1" fontId="5" fillId="3" borderId="22" xfId="0" applyNumberFormat="1" applyFont="1" applyFill="1" applyBorder="1" applyAlignment="1">
      <alignment horizontal="center" vertical="center"/>
    </xf>
    <xf numFmtId="0" fontId="3" fillId="4" borderId="26" xfId="0" applyNumberFormat="1" applyFont="1" applyFill="1" applyBorder="1" applyAlignment="1">
      <alignment horizontal="center"/>
    </xf>
    <xf numFmtId="0" fontId="3" fillId="2" borderId="26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5" borderId="1" xfId="0" applyNumberFormat="1" applyFont="1" applyFill="1" applyBorder="1" applyAlignment="1">
      <alignment horizontal="center"/>
    </xf>
    <xf numFmtId="1" fontId="3" fillId="5" borderId="16" xfId="0" applyNumberFormat="1" applyFont="1" applyFill="1" applyBorder="1" applyAlignment="1">
      <alignment horizontal="right"/>
    </xf>
    <xf numFmtId="0" fontId="0" fillId="5" borderId="0" xfId="0" applyFill="1" applyBorder="1" applyAlignment="1">
      <alignment horizontal="center"/>
    </xf>
    <xf numFmtId="1" fontId="3" fillId="5" borderId="1" xfId="0" applyNumberFormat="1" applyFont="1" applyFill="1" applyBorder="1" applyAlignment="1">
      <alignment horizontal="left"/>
    </xf>
    <xf numFmtId="0" fontId="3" fillId="5" borderId="1" xfId="0" quotePrefix="1" applyNumberFormat="1" applyFont="1" applyFill="1" applyBorder="1" applyAlignment="1">
      <alignment horizontal="center"/>
    </xf>
    <xf numFmtId="0" fontId="3" fillId="5" borderId="14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 wrapText="1"/>
    </xf>
    <xf numFmtId="0" fontId="3" fillId="2" borderId="27" xfId="0" applyNumberFormat="1" applyFont="1" applyFill="1" applyBorder="1" applyAlignment="1">
      <alignment horizontal="center"/>
    </xf>
    <xf numFmtId="0" fontId="3" fillId="2" borderId="16" xfId="0" applyNumberFormat="1" applyFont="1" applyFill="1" applyBorder="1" applyAlignment="1">
      <alignment horizontal="center" wrapText="1"/>
    </xf>
    <xf numFmtId="0" fontId="3" fillId="2" borderId="0" xfId="0" applyNumberFormat="1" applyFont="1" applyFill="1" applyBorder="1" applyAlignment="1">
      <alignment horizontal="center" wrapText="1"/>
    </xf>
    <xf numFmtId="0" fontId="3" fillId="2" borderId="10" xfId="0" applyNumberFormat="1" applyFont="1" applyFill="1" applyBorder="1" applyAlignment="1">
      <alignment horizontal="center" wrapText="1"/>
    </xf>
    <xf numFmtId="0" fontId="3" fillId="4" borderId="16" xfId="0" applyNumberFormat="1" applyFont="1" applyFill="1" applyBorder="1" applyAlignment="1">
      <alignment horizontal="center" wrapText="1"/>
    </xf>
    <xf numFmtId="0" fontId="3" fillId="4" borderId="0" xfId="0" applyNumberFormat="1" applyFont="1" applyFill="1" applyBorder="1" applyAlignment="1">
      <alignment horizontal="center" wrapText="1"/>
    </xf>
    <xf numFmtId="0" fontId="3" fillId="4" borderId="10" xfId="0" applyNumberFormat="1" applyFont="1" applyFill="1" applyBorder="1" applyAlignment="1">
      <alignment horizontal="center" wrapText="1"/>
    </xf>
    <xf numFmtId="1" fontId="3" fillId="2" borderId="16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 wrapText="1"/>
    </xf>
    <xf numFmtId="0" fontId="3" fillId="4" borderId="9" xfId="0" applyNumberFormat="1" applyFont="1" applyFill="1" applyBorder="1" applyAlignment="1">
      <alignment horizontal="center"/>
    </xf>
    <xf numFmtId="0" fontId="3" fillId="4" borderId="25" xfId="0" applyNumberFormat="1" applyFont="1" applyFill="1" applyBorder="1" applyAlignment="1">
      <alignment horizontal="center"/>
    </xf>
    <xf numFmtId="0" fontId="3" fillId="5" borderId="24" xfId="0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left"/>
    </xf>
    <xf numFmtId="1" fontId="3" fillId="4" borderId="16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0" fontId="3" fillId="6" borderId="9" xfId="0" applyNumberFormat="1" applyFont="1" applyFill="1" applyBorder="1" applyAlignment="1">
      <alignment vertical="center" wrapText="1"/>
    </xf>
    <xf numFmtId="0" fontId="3" fillId="6" borderId="0" xfId="0" applyNumberFormat="1" applyFont="1" applyFill="1" applyBorder="1" applyAlignment="1">
      <alignment vertical="center" wrapText="1"/>
    </xf>
    <xf numFmtId="0" fontId="3" fillId="6" borderId="0" xfId="0" applyNumberFormat="1" applyFont="1" applyFill="1" applyBorder="1" applyAlignment="1">
      <alignment horizontal="right" vertical="center" wrapText="1"/>
    </xf>
    <xf numFmtId="0" fontId="2" fillId="7" borderId="20" xfId="0" applyFont="1" applyFill="1" applyBorder="1" applyAlignment="1">
      <alignment horizontal="center"/>
    </xf>
    <xf numFmtId="0" fontId="4" fillId="8" borderId="17" xfId="0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center"/>
    </xf>
    <xf numFmtId="0" fontId="2" fillId="8" borderId="22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4" borderId="15" xfId="0" applyNumberFormat="1" applyFont="1" applyFill="1" applyBorder="1" applyAlignment="1">
      <alignment horizontal="center"/>
    </xf>
    <xf numFmtId="0" fontId="3" fillId="4" borderId="12" xfId="0" applyNumberFormat="1" applyFont="1" applyFill="1" applyBorder="1" applyAlignment="1">
      <alignment horizontal="center"/>
    </xf>
    <xf numFmtId="1" fontId="3" fillId="4" borderId="19" xfId="0" applyNumberFormat="1" applyFont="1" applyFill="1" applyBorder="1" applyAlignment="1">
      <alignment horizontal="right"/>
    </xf>
    <xf numFmtId="1" fontId="3" fillId="4" borderId="12" xfId="0" applyNumberFormat="1" applyFont="1" applyFill="1" applyBorder="1" applyAlignment="1">
      <alignment horizontal="left"/>
    </xf>
    <xf numFmtId="0" fontId="3" fillId="0" borderId="4" xfId="0" applyNumberFormat="1" applyFont="1" applyFill="1" applyBorder="1" applyAlignment="1">
      <alignment horizontal="center"/>
    </xf>
    <xf numFmtId="1" fontId="3" fillId="0" borderId="4" xfId="0" applyNumberFormat="1" applyFont="1" applyFill="1" applyBorder="1" applyAlignment="1">
      <alignment horizontal="right"/>
    </xf>
    <xf numFmtId="0" fontId="3" fillId="0" borderId="4" xfId="0" applyNumberFormat="1" applyFont="1" applyFill="1" applyBorder="1" applyAlignment="1">
      <alignment horizontal="center" wrapText="1"/>
    </xf>
    <xf numFmtId="1" fontId="3" fillId="0" borderId="4" xfId="0" applyNumberFormat="1" applyFont="1" applyFill="1" applyBorder="1" applyAlignment="1">
      <alignment horizontal="left"/>
    </xf>
    <xf numFmtId="0" fontId="0" fillId="0" borderId="0" xfId="0" applyBorder="1" applyProtection="1">
      <protection hidden="1"/>
    </xf>
    <xf numFmtId="0" fontId="3" fillId="4" borderId="12" xfId="0" quotePrefix="1" applyNumberFormat="1" applyFont="1" applyFill="1" applyBorder="1" applyAlignment="1">
      <alignment horizontal="center"/>
    </xf>
    <xf numFmtId="0" fontId="3" fillId="4" borderId="28" xfId="0" applyNumberFormat="1" applyFont="1" applyFill="1" applyBorder="1" applyAlignment="1">
      <alignment horizontal="center"/>
    </xf>
    <xf numFmtId="1" fontId="0" fillId="2" borderId="0" xfId="0" applyNumberFormat="1" applyFill="1" applyBorder="1" applyAlignment="1">
      <alignment horizontal="right"/>
    </xf>
    <xf numFmtId="0" fontId="0" fillId="2" borderId="14" xfId="0" applyFill="1" applyBorder="1"/>
    <xf numFmtId="0" fontId="0" fillId="2" borderId="1" xfId="0" applyFill="1" applyBorder="1"/>
    <xf numFmtId="1" fontId="0" fillId="2" borderId="1" xfId="0" applyNumberFormat="1" applyFill="1" applyBorder="1" applyAlignment="1">
      <alignment horizontal="left"/>
    </xf>
    <xf numFmtId="0" fontId="0" fillId="4" borderId="0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3" fillId="4" borderId="14" xfId="0" applyNumberFormat="1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center"/>
    </xf>
    <xf numFmtId="0" fontId="3" fillId="2" borderId="15" xfId="0" applyNumberFormat="1" applyFont="1" applyFill="1" applyBorder="1" applyAlignment="1">
      <alignment horizontal="center"/>
    </xf>
    <xf numFmtId="0" fontId="3" fillId="2" borderId="12" xfId="0" applyNumberFormat="1" applyFont="1" applyFill="1" applyBorder="1" applyAlignment="1">
      <alignment horizontal="center"/>
    </xf>
    <xf numFmtId="0" fontId="3" fillId="2" borderId="16" xfId="0" applyNumberFormat="1" applyFont="1" applyFill="1" applyBorder="1" applyAlignment="1">
      <alignment horizontal="center" wrapText="1"/>
    </xf>
    <xf numFmtId="0" fontId="3" fillId="2" borderId="0" xfId="0" applyNumberFormat="1" applyFont="1" applyFill="1" applyBorder="1" applyAlignment="1">
      <alignment horizontal="center" wrapText="1"/>
    </xf>
    <xf numFmtId="0" fontId="3" fillId="2" borderId="10" xfId="0" applyNumberFormat="1" applyFont="1" applyFill="1" applyBorder="1" applyAlignment="1">
      <alignment horizontal="center" wrapText="1"/>
    </xf>
    <xf numFmtId="0" fontId="3" fillId="4" borderId="16" xfId="0" applyNumberFormat="1" applyFont="1" applyFill="1" applyBorder="1" applyAlignment="1">
      <alignment horizontal="center" wrapText="1"/>
    </xf>
    <xf numFmtId="0" fontId="3" fillId="4" borderId="0" xfId="0" applyNumberFormat="1" applyFont="1" applyFill="1" applyBorder="1" applyAlignment="1">
      <alignment horizontal="center" wrapText="1"/>
    </xf>
    <xf numFmtId="0" fontId="3" fillId="4" borderId="10" xfId="0" applyNumberFormat="1" applyFont="1" applyFill="1" applyBorder="1" applyAlignment="1">
      <alignment horizontal="center" wrapText="1"/>
    </xf>
    <xf numFmtId="0" fontId="3" fillId="2" borderId="19" xfId="0" applyNumberFormat="1" applyFont="1" applyFill="1" applyBorder="1" applyAlignment="1">
      <alignment horizontal="center" wrapText="1"/>
    </xf>
    <xf numFmtId="0" fontId="3" fillId="2" borderId="7" xfId="0" applyNumberFormat="1" applyFont="1" applyFill="1" applyBorder="1" applyAlignment="1">
      <alignment horizontal="center" wrapText="1"/>
    </xf>
    <xf numFmtId="0" fontId="3" fillId="2" borderId="8" xfId="0" applyNumberFormat="1" applyFont="1" applyFill="1" applyBorder="1" applyAlignment="1">
      <alignment horizontal="center" wrapText="1"/>
    </xf>
    <xf numFmtId="0" fontId="3" fillId="2" borderId="18" xfId="0" applyNumberFormat="1" applyFont="1" applyFill="1" applyBorder="1" applyAlignment="1">
      <alignment horizontal="center" wrapText="1"/>
    </xf>
    <xf numFmtId="0" fontId="3" fillId="2" borderId="4" xfId="0" applyNumberFormat="1" applyFont="1" applyFill="1" applyBorder="1" applyAlignment="1">
      <alignment horizontal="center" wrapText="1"/>
    </xf>
    <xf numFmtId="0" fontId="3" fillId="2" borderId="5" xfId="0" applyNumberFormat="1" applyFont="1" applyFill="1" applyBorder="1" applyAlignment="1">
      <alignment horizontal="center" wrapText="1"/>
    </xf>
    <xf numFmtId="1" fontId="3" fillId="2" borderId="16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" fontId="3" fillId="4" borderId="16" xfId="0" applyNumberFormat="1" applyFont="1" applyFill="1" applyBorder="1" applyAlignment="1">
      <alignment horizontal="center"/>
    </xf>
    <xf numFmtId="1" fontId="3" fillId="2" borderId="19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1" fontId="3" fillId="2" borderId="12" xfId="0" applyNumberFormat="1" applyFont="1" applyFill="1" applyBorder="1" applyAlignment="1">
      <alignment horizontal="center"/>
    </xf>
    <xf numFmtId="0" fontId="2" fillId="7" borderId="20" xfId="0" applyFont="1" applyFill="1" applyBorder="1" applyAlignment="1">
      <alignment horizontal="center"/>
    </xf>
    <xf numFmtId="16" fontId="3" fillId="4" borderId="1" xfId="0" quotePrefix="1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2" borderId="10" xfId="0" applyNumberFormat="1" applyFont="1" applyFill="1" applyBorder="1" applyAlignment="1">
      <alignment horizontal="center"/>
    </xf>
    <xf numFmtId="1" fontId="7" fillId="4" borderId="1" xfId="0" applyNumberFormat="1" applyFont="1" applyFill="1" applyBorder="1" applyAlignment="1">
      <alignment horizontal="center"/>
    </xf>
    <xf numFmtId="1" fontId="7" fillId="4" borderId="10" xfId="0" applyNumberFormat="1" applyFont="1" applyFill="1" applyBorder="1" applyAlignment="1">
      <alignment horizontal="center"/>
    </xf>
    <xf numFmtId="1" fontId="7" fillId="4" borderId="12" xfId="0" applyNumberFormat="1" applyFont="1" applyFill="1" applyBorder="1" applyAlignment="1">
      <alignment horizontal="center"/>
    </xf>
    <xf numFmtId="165" fontId="7" fillId="4" borderId="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30" xfId="0" applyBorder="1"/>
    <xf numFmtId="0" fontId="0" fillId="0" borderId="30" xfId="0" applyBorder="1" applyAlignment="1">
      <alignment horizontal="right"/>
    </xf>
    <xf numFmtId="0" fontId="0" fillId="0" borderId="30" xfId="0" applyBorder="1" applyAlignment="1">
      <alignment horizontal="left"/>
    </xf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5" xfId="0" applyBorder="1" applyAlignment="1">
      <alignment horizontal="right"/>
    </xf>
    <xf numFmtId="0" fontId="0" fillId="0" borderId="35" xfId="0" applyBorder="1" applyAlignment="1">
      <alignment horizontal="left"/>
    </xf>
    <xf numFmtId="0" fontId="0" fillId="0" borderId="36" xfId="0" applyBorder="1"/>
    <xf numFmtId="0" fontId="3" fillId="2" borderId="37" xfId="0" applyFont="1" applyFill="1" applyBorder="1" applyAlignment="1">
      <alignment horizontal="center"/>
    </xf>
    <xf numFmtId="1" fontId="0" fillId="4" borderId="38" xfId="0" applyNumberFormat="1" applyFill="1" applyBorder="1" applyAlignment="1">
      <alignment horizontal="center"/>
    </xf>
    <xf numFmtId="0" fontId="3" fillId="2" borderId="39" xfId="0" applyFont="1" applyFill="1" applyBorder="1" applyAlignment="1">
      <alignment horizontal="center"/>
    </xf>
    <xf numFmtId="0" fontId="0" fillId="4" borderId="40" xfId="0" applyFill="1" applyBorder="1" applyAlignment="1">
      <alignment horizontal="center"/>
    </xf>
    <xf numFmtId="0" fontId="7" fillId="4" borderId="41" xfId="0" applyFont="1" applyFill="1" applyBorder="1" applyAlignment="1">
      <alignment horizontal="center"/>
    </xf>
    <xf numFmtId="0" fontId="7" fillId="4" borderId="42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1" fontId="3" fillId="2" borderId="16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" fontId="3" fillId="4" borderId="16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1" fontId="3" fillId="4" borderId="16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0" fontId="3" fillId="2" borderId="0" xfId="0" applyNumberFormat="1" applyFont="1" applyFill="1" applyBorder="1" applyAlignment="1">
      <alignment horizontal="center"/>
    </xf>
    <xf numFmtId="0" fontId="3" fillId="4" borderId="0" xfId="0" applyNumberFormat="1" applyFont="1" applyFill="1" applyBorder="1" applyAlignment="1">
      <alignment horizontal="center"/>
    </xf>
    <xf numFmtId="0" fontId="3" fillId="2" borderId="7" xfId="0" applyNumberFormat="1" applyFont="1" applyFill="1" applyBorder="1" applyAlignment="1">
      <alignment horizontal="center"/>
    </xf>
    <xf numFmtId="0" fontId="5" fillId="3" borderId="43" xfId="0" applyFont="1" applyFill="1" applyBorder="1" applyAlignment="1">
      <alignment horizontal="center" vertical="center"/>
    </xf>
    <xf numFmtId="0" fontId="3" fillId="4" borderId="7" xfId="0" applyNumberFormat="1" applyFont="1" applyFill="1" applyBorder="1" applyAlignment="1">
      <alignment horizontal="center"/>
    </xf>
    <xf numFmtId="0" fontId="0" fillId="2" borderId="16" xfId="0" applyFill="1" applyBorder="1"/>
    <xf numFmtId="0" fontId="3" fillId="5" borderId="0" xfId="0" applyNumberFormat="1" applyFont="1" applyFill="1" applyBorder="1" applyAlignment="1">
      <alignment horizontal="center"/>
    </xf>
    <xf numFmtId="0" fontId="3" fillId="4" borderId="44" xfId="0" applyNumberFormat="1" applyFont="1" applyFill="1" applyBorder="1" applyAlignment="1">
      <alignment horizontal="center"/>
    </xf>
    <xf numFmtId="0" fontId="2" fillId="7" borderId="45" xfId="0" applyFont="1" applyFill="1" applyBorder="1" applyAlignment="1">
      <alignment horizontal="center"/>
    </xf>
    <xf numFmtId="0" fontId="2" fillId="7" borderId="46" xfId="0" applyFont="1" applyFill="1" applyBorder="1" applyAlignment="1">
      <alignment horizontal="center"/>
    </xf>
    <xf numFmtId="0" fontId="2" fillId="7" borderId="47" xfId="0" applyFont="1" applyFill="1" applyBorder="1" applyAlignment="1">
      <alignment horizontal="center"/>
    </xf>
    <xf numFmtId="0" fontId="3" fillId="2" borderId="50" xfId="0" applyNumberFormat="1" applyFont="1" applyFill="1" applyBorder="1" applyAlignment="1">
      <alignment horizontal="center"/>
    </xf>
    <xf numFmtId="0" fontId="3" fillId="4" borderId="50" xfId="0" applyNumberFormat="1" applyFont="1" applyFill="1" applyBorder="1" applyAlignment="1">
      <alignment horizontal="center"/>
    </xf>
    <xf numFmtId="0" fontId="3" fillId="2" borderId="53" xfId="0" applyNumberFormat="1" applyFont="1" applyFill="1" applyBorder="1" applyAlignment="1">
      <alignment horizontal="center"/>
    </xf>
    <xf numFmtId="0" fontId="3" fillId="4" borderId="54" xfId="0" applyNumberFormat="1" applyFont="1" applyFill="1" applyBorder="1" applyAlignment="1">
      <alignment horizontal="center"/>
    </xf>
    <xf numFmtId="0" fontId="3" fillId="2" borderId="55" xfId="0" applyNumberFormat="1" applyFont="1" applyFill="1" applyBorder="1" applyAlignment="1">
      <alignment horizontal="center"/>
    </xf>
    <xf numFmtId="0" fontId="3" fillId="4" borderId="56" xfId="0" applyNumberFormat="1" applyFont="1" applyFill="1" applyBorder="1" applyAlignment="1">
      <alignment horizontal="center"/>
    </xf>
    <xf numFmtId="0" fontId="3" fillId="4" borderId="57" xfId="0" applyNumberFormat="1" applyFont="1" applyFill="1" applyBorder="1" applyAlignment="1">
      <alignment horizontal="center"/>
    </xf>
    <xf numFmtId="1" fontId="3" fillId="4" borderId="58" xfId="0" applyNumberFormat="1" applyFont="1" applyFill="1" applyBorder="1" applyAlignment="1">
      <alignment horizontal="right"/>
    </xf>
    <xf numFmtId="0" fontId="0" fillId="4" borderId="59" xfId="0" applyFill="1" applyBorder="1" applyAlignment="1">
      <alignment horizontal="center"/>
    </xf>
    <xf numFmtId="1" fontId="3" fillId="4" borderId="57" xfId="0" applyNumberFormat="1" applyFont="1" applyFill="1" applyBorder="1" applyAlignment="1">
      <alignment horizontal="left"/>
    </xf>
    <xf numFmtId="0" fontId="3" fillId="4" borderId="59" xfId="0" applyNumberFormat="1" applyFont="1" applyFill="1" applyBorder="1" applyAlignment="1">
      <alignment horizontal="center"/>
    </xf>
    <xf numFmtId="0" fontId="3" fillId="4" borderId="53" xfId="0" applyNumberFormat="1" applyFont="1" applyFill="1" applyBorder="1" applyAlignment="1">
      <alignment horizontal="center"/>
    </xf>
    <xf numFmtId="0" fontId="3" fillId="2" borderId="56" xfId="0" applyNumberFormat="1" applyFont="1" applyFill="1" applyBorder="1" applyAlignment="1">
      <alignment horizontal="center"/>
    </xf>
    <xf numFmtId="0" fontId="3" fillId="2" borderId="57" xfId="0" applyNumberFormat="1" applyFont="1" applyFill="1" applyBorder="1" applyAlignment="1">
      <alignment horizontal="center"/>
    </xf>
    <xf numFmtId="1" fontId="3" fillId="2" borderId="58" xfId="0" applyNumberFormat="1" applyFont="1" applyFill="1" applyBorder="1" applyAlignment="1">
      <alignment horizontal="center"/>
    </xf>
    <xf numFmtId="0" fontId="0" fillId="2" borderId="59" xfId="0" applyFill="1" applyBorder="1" applyAlignment="1">
      <alignment horizontal="center"/>
    </xf>
    <xf numFmtId="1" fontId="3" fillId="2" borderId="57" xfId="0" applyNumberFormat="1" applyFont="1" applyFill="1" applyBorder="1" applyAlignment="1">
      <alignment horizontal="center"/>
    </xf>
    <xf numFmtId="0" fontId="3" fillId="2" borderId="59" xfId="0" applyNumberFormat="1" applyFont="1" applyFill="1" applyBorder="1" applyAlignment="1">
      <alignment horizontal="center"/>
    </xf>
    <xf numFmtId="0" fontId="3" fillId="4" borderId="55" xfId="0" applyNumberFormat="1" applyFont="1" applyFill="1" applyBorder="1" applyAlignment="1">
      <alignment horizontal="center"/>
    </xf>
    <xf numFmtId="0" fontId="3" fillId="2" borderId="61" xfId="0" applyNumberFormat="1" applyFont="1" applyFill="1" applyBorder="1" applyAlignment="1">
      <alignment horizontal="center"/>
    </xf>
    <xf numFmtId="1" fontId="3" fillId="2" borderId="58" xfId="0" applyNumberFormat="1" applyFont="1" applyFill="1" applyBorder="1" applyAlignment="1">
      <alignment horizontal="right"/>
    </xf>
    <xf numFmtId="1" fontId="3" fillId="2" borderId="57" xfId="0" applyNumberFormat="1" applyFont="1" applyFill="1" applyBorder="1" applyAlignment="1">
      <alignment horizontal="left"/>
    </xf>
    <xf numFmtId="1" fontId="7" fillId="2" borderId="62" xfId="0" applyNumberFormat="1" applyFont="1" applyFill="1" applyBorder="1" applyAlignment="1">
      <alignment horizontal="center"/>
    </xf>
    <xf numFmtId="0" fontId="3" fillId="2" borderId="63" xfId="0" applyNumberFormat="1" applyFont="1" applyFill="1" applyBorder="1" applyAlignment="1">
      <alignment horizontal="center"/>
    </xf>
    <xf numFmtId="0" fontId="2" fillId="8" borderId="43" xfId="0" applyFont="1" applyFill="1" applyBorder="1" applyAlignment="1">
      <alignment horizontal="center"/>
    </xf>
    <xf numFmtId="0" fontId="2" fillId="8" borderId="64" xfId="0" applyFont="1" applyFill="1" applyBorder="1" applyAlignment="1">
      <alignment horizontal="center"/>
    </xf>
    <xf numFmtId="0" fontId="3" fillId="2" borderId="41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4" borderId="65" xfId="0" applyFont="1" applyFill="1" applyBorder="1" applyAlignment="1">
      <alignment horizontal="center"/>
    </xf>
    <xf numFmtId="0" fontId="3" fillId="2" borderId="42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7" fillId="4" borderId="66" xfId="0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3" fillId="2" borderId="1" xfId="0" quotePrefix="1" applyNumberFormat="1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center"/>
    </xf>
    <xf numFmtId="0" fontId="3" fillId="4" borderId="1" xfId="0" quotePrefix="1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left"/>
    </xf>
    <xf numFmtId="1" fontId="3" fillId="4" borderId="16" xfId="0" applyNumberFormat="1" applyFont="1" applyFill="1" applyBorder="1" applyAlignment="1">
      <alignment horizontal="right"/>
    </xf>
    <xf numFmtId="16" fontId="3" fillId="2" borderId="1" xfId="0" quotePrefix="1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center"/>
    </xf>
    <xf numFmtId="0" fontId="3" fillId="4" borderId="1" xfId="0" quotePrefix="1" applyNumberFormat="1" applyFont="1" applyFill="1" applyBorder="1" applyAlignment="1">
      <alignment horizontal="center"/>
    </xf>
    <xf numFmtId="0" fontId="3" fillId="2" borderId="1" xfId="0" quotePrefix="1" applyNumberFormat="1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center"/>
    </xf>
    <xf numFmtId="1" fontId="3" fillId="2" borderId="16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left"/>
    </xf>
    <xf numFmtId="0" fontId="3" fillId="2" borderId="1" xfId="0" quotePrefix="1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left"/>
    </xf>
    <xf numFmtId="1" fontId="3" fillId="4" borderId="16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3" fillId="4" borderId="1" xfId="0" quotePrefix="1" applyNumberFormat="1" applyFont="1" applyFill="1" applyBorder="1" applyAlignment="1">
      <alignment horizontal="center"/>
    </xf>
    <xf numFmtId="1" fontId="3" fillId="2" borderId="16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left"/>
    </xf>
    <xf numFmtId="0" fontId="3" fillId="2" borderId="1" xfId="0" quotePrefix="1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left"/>
    </xf>
    <xf numFmtId="1" fontId="3" fillId="4" borderId="16" xfId="0" applyNumberFormat="1" applyFont="1" applyFill="1" applyBorder="1" applyAlignment="1">
      <alignment horizontal="right"/>
    </xf>
    <xf numFmtId="0" fontId="3" fillId="4" borderId="1" xfId="0" quotePrefix="1" applyNumberFormat="1" applyFont="1" applyFill="1" applyBorder="1" applyAlignment="1">
      <alignment horizontal="center"/>
    </xf>
    <xf numFmtId="0" fontId="3" fillId="2" borderId="1" xfId="0" quotePrefix="1" applyNumberFormat="1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center"/>
    </xf>
    <xf numFmtId="0" fontId="3" fillId="4" borderId="1" xfId="0" quotePrefix="1" applyNumberFormat="1" applyFont="1" applyFill="1" applyBorder="1" applyAlignment="1">
      <alignment horizontal="center"/>
    </xf>
    <xf numFmtId="0" fontId="3" fillId="2" borderId="1" xfId="0" quotePrefix="1" applyNumberFormat="1" applyFont="1" applyFill="1" applyBorder="1" applyAlignment="1">
      <alignment horizontal="center"/>
    </xf>
    <xf numFmtId="1" fontId="3" fillId="4" borderId="16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16" fontId="3" fillId="2" borderId="1" xfId="0" quotePrefix="1" applyNumberFormat="1" applyFont="1" applyFill="1" applyBorder="1" applyAlignment="1">
      <alignment horizontal="center"/>
    </xf>
    <xf numFmtId="1" fontId="3" fillId="2" borderId="16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left"/>
    </xf>
    <xf numFmtId="0" fontId="0" fillId="4" borderId="0" xfId="0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center"/>
    </xf>
    <xf numFmtId="0" fontId="3" fillId="4" borderId="1" xfId="0" quotePrefix="1" applyNumberFormat="1" applyFont="1" applyFill="1" applyBorder="1" applyAlignment="1">
      <alignment horizontal="center"/>
    </xf>
    <xf numFmtId="1" fontId="3" fillId="4" borderId="16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center"/>
    </xf>
    <xf numFmtId="0" fontId="3" fillId="4" borderId="1" xfId="0" quotePrefix="1" applyNumberFormat="1" applyFont="1" applyFill="1" applyBorder="1" applyAlignment="1">
      <alignment horizontal="center"/>
    </xf>
    <xf numFmtId="0" fontId="3" fillId="2" borderId="1" xfId="0" quotePrefix="1" applyNumberFormat="1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3" fillId="2" borderId="1" xfId="0" quotePrefix="1" applyNumberFormat="1" applyFont="1" applyFill="1" applyBorder="1" applyAlignment="1">
      <alignment horizontal="center"/>
    </xf>
    <xf numFmtId="1" fontId="3" fillId="2" borderId="16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1" fontId="3" fillId="2" borderId="16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left"/>
    </xf>
    <xf numFmtId="0" fontId="3" fillId="2" borderId="1" xfId="0" quotePrefix="1" applyNumberFormat="1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3" fillId="4" borderId="14" xfId="0" applyNumberFormat="1" applyFont="1" applyFill="1" applyBorder="1" applyAlignment="1">
      <alignment horizontal="center"/>
    </xf>
    <xf numFmtId="0" fontId="3" fillId="4" borderId="1" xfId="0" quotePrefix="1" applyNumberFormat="1" applyFont="1" applyFill="1" applyBorder="1" applyAlignment="1">
      <alignment horizontal="center"/>
    </xf>
    <xf numFmtId="0" fontId="3" fillId="2" borderId="1" xfId="0" quotePrefix="1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left"/>
    </xf>
    <xf numFmtId="1" fontId="3" fillId="4" borderId="16" xfId="0" applyNumberFormat="1" applyFont="1" applyFill="1" applyBorder="1" applyAlignment="1">
      <alignment horizontal="right"/>
    </xf>
    <xf numFmtId="0" fontId="3" fillId="2" borderId="50" xfId="0" applyNumberFormat="1" applyFont="1" applyFill="1" applyBorder="1" applyAlignment="1">
      <alignment horizontal="center"/>
    </xf>
    <xf numFmtId="0" fontId="3" fillId="4" borderId="50" xfId="0" applyNumberFormat="1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2" fillId="7" borderId="47" xfId="0" applyFont="1" applyFill="1" applyBorder="1" applyAlignment="1">
      <alignment horizontal="center"/>
    </xf>
    <xf numFmtId="0" fontId="2" fillId="7" borderId="46" xfId="0" applyFont="1" applyFill="1" applyBorder="1" applyAlignment="1">
      <alignment horizontal="center"/>
    </xf>
    <xf numFmtId="0" fontId="3" fillId="2" borderId="67" xfId="0" applyNumberFormat="1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3" fillId="4" borderId="16" xfId="0" applyNumberFormat="1" applyFont="1" applyFill="1" applyBorder="1" applyAlignment="1">
      <alignment horizontal="center" wrapText="1"/>
    </xf>
    <xf numFmtId="0" fontId="3" fillId="4" borderId="0" xfId="0" applyNumberFormat="1" applyFont="1" applyFill="1" applyBorder="1" applyAlignment="1">
      <alignment horizontal="center" wrapText="1"/>
    </xf>
    <xf numFmtId="0" fontId="3" fillId="4" borderId="10" xfId="0" applyNumberFormat="1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2" fillId="7" borderId="47" xfId="0" applyFont="1" applyFill="1" applyBorder="1" applyAlignment="1">
      <alignment horizontal="center"/>
    </xf>
    <xf numFmtId="0" fontId="2" fillId="7" borderId="46" xfId="0" applyFont="1" applyFill="1" applyBorder="1" applyAlignment="1">
      <alignment horizontal="center"/>
    </xf>
    <xf numFmtId="0" fontId="2" fillId="7" borderId="48" xfId="0" applyFont="1" applyFill="1" applyBorder="1" applyAlignment="1">
      <alignment horizontal="center"/>
    </xf>
    <xf numFmtId="0" fontId="2" fillId="7" borderId="49" xfId="0" applyFont="1" applyFill="1" applyBorder="1" applyAlignment="1">
      <alignment horizontal="center"/>
    </xf>
    <xf numFmtId="0" fontId="3" fillId="2" borderId="16" xfId="0" applyNumberFormat="1" applyFont="1" applyFill="1" applyBorder="1" applyAlignment="1">
      <alignment horizontal="center" wrapText="1"/>
    </xf>
    <xf numFmtId="0" fontId="3" fillId="2" borderId="0" xfId="0" applyNumberFormat="1" applyFont="1" applyFill="1" applyBorder="1" applyAlignment="1">
      <alignment horizontal="center" wrapText="1"/>
    </xf>
    <xf numFmtId="0" fontId="3" fillId="2" borderId="10" xfId="0" applyNumberFormat="1" applyFont="1" applyFill="1" applyBorder="1" applyAlignment="1">
      <alignment horizontal="center" wrapText="1"/>
    </xf>
    <xf numFmtId="1" fontId="3" fillId="2" borderId="16" xfId="0" applyNumberFormat="1" applyFont="1" applyFill="1" applyBorder="1" applyAlignment="1">
      <alignment horizontal="center"/>
    </xf>
    <xf numFmtId="1" fontId="3" fillId="2" borderId="0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3" fillId="2" borderId="18" xfId="0" applyNumberFormat="1" applyFont="1" applyFill="1" applyBorder="1" applyAlignment="1">
      <alignment horizontal="center" wrapText="1"/>
    </xf>
    <xf numFmtId="0" fontId="3" fillId="2" borderId="4" xfId="0" applyNumberFormat="1" applyFont="1" applyFill="1" applyBorder="1" applyAlignment="1">
      <alignment horizontal="center" wrapText="1"/>
    </xf>
    <xf numFmtId="0" fontId="3" fillId="2" borderId="5" xfId="0" applyNumberFormat="1" applyFont="1" applyFill="1" applyBorder="1" applyAlignment="1">
      <alignment horizontal="center" wrapText="1"/>
    </xf>
    <xf numFmtId="0" fontId="3" fillId="2" borderId="19" xfId="0" applyNumberFormat="1" applyFont="1" applyFill="1" applyBorder="1" applyAlignment="1">
      <alignment horizontal="center" wrapText="1"/>
    </xf>
    <xf numFmtId="0" fontId="3" fillId="2" borderId="7" xfId="0" applyNumberFormat="1" applyFont="1" applyFill="1" applyBorder="1" applyAlignment="1">
      <alignment horizontal="center" wrapText="1"/>
    </xf>
    <xf numFmtId="0" fontId="3" fillId="2" borderId="8" xfId="0" applyNumberFormat="1" applyFont="1" applyFill="1" applyBorder="1" applyAlignment="1">
      <alignment horizontal="center" wrapText="1"/>
    </xf>
    <xf numFmtId="0" fontId="0" fillId="4" borderId="16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3" fillId="0" borderId="4" xfId="0" applyNumberFormat="1" applyFont="1" applyFill="1" applyBorder="1" applyAlignment="1">
      <alignment horizontal="center" wrapText="1"/>
    </xf>
    <xf numFmtId="0" fontId="3" fillId="2" borderId="52" xfId="0" applyNumberFormat="1" applyFont="1" applyFill="1" applyBorder="1" applyAlignment="1">
      <alignment horizontal="center" wrapText="1"/>
    </xf>
    <xf numFmtId="0" fontId="3" fillId="4" borderId="52" xfId="0" applyNumberFormat="1" applyFont="1" applyFill="1" applyBorder="1" applyAlignment="1">
      <alignment horizontal="center" wrapText="1"/>
    </xf>
    <xf numFmtId="0" fontId="3" fillId="2" borderId="58" xfId="0" applyNumberFormat="1" applyFont="1" applyFill="1" applyBorder="1" applyAlignment="1">
      <alignment horizontal="center" wrapText="1"/>
    </xf>
    <xf numFmtId="0" fontId="3" fillId="2" borderId="59" xfId="0" applyNumberFormat="1" applyFont="1" applyFill="1" applyBorder="1" applyAlignment="1">
      <alignment horizontal="center" wrapText="1"/>
    </xf>
    <xf numFmtId="0" fontId="3" fillId="2" borderId="60" xfId="0" applyNumberFormat="1" applyFont="1" applyFill="1" applyBorder="1" applyAlignment="1">
      <alignment horizontal="center" wrapText="1"/>
    </xf>
    <xf numFmtId="0" fontId="3" fillId="2" borderId="51" xfId="0" applyNumberFormat="1" applyFont="1" applyFill="1" applyBorder="1" applyAlignment="1">
      <alignment horizontal="center" wrapText="1"/>
    </xf>
    <xf numFmtId="0" fontId="3" fillId="4" borderId="19" xfId="0" applyNumberFormat="1" applyFont="1" applyFill="1" applyBorder="1" applyAlignment="1">
      <alignment horizontal="center" wrapText="1"/>
    </xf>
    <xf numFmtId="0" fontId="3" fillId="4" borderId="7" xfId="0" applyNumberFormat="1" applyFont="1" applyFill="1" applyBorder="1" applyAlignment="1">
      <alignment horizontal="center" wrapText="1"/>
    </xf>
    <xf numFmtId="0" fontId="3" fillId="4" borderId="8" xfId="0" applyNumberFormat="1" applyFont="1" applyFill="1" applyBorder="1" applyAlignment="1">
      <alignment horizontal="center" wrapText="1"/>
    </xf>
    <xf numFmtId="0" fontId="3" fillId="4" borderId="58" xfId="0" applyNumberFormat="1" applyFont="1" applyFill="1" applyBorder="1" applyAlignment="1">
      <alignment horizontal="center" wrapText="1"/>
    </xf>
    <xf numFmtId="0" fontId="3" fillId="4" borderId="59" xfId="0" applyNumberFormat="1" applyFont="1" applyFill="1" applyBorder="1" applyAlignment="1">
      <alignment horizontal="center" wrapText="1"/>
    </xf>
    <xf numFmtId="0" fontId="3" fillId="4" borderId="60" xfId="0" applyNumberFormat="1" applyFont="1" applyFill="1" applyBorder="1" applyAlignment="1">
      <alignment horizontal="center" wrapText="1"/>
    </xf>
    <xf numFmtId="0" fontId="3" fillId="6" borderId="6" xfId="0" applyNumberFormat="1" applyFont="1" applyFill="1" applyBorder="1" applyAlignment="1">
      <alignment horizontal="center" vertical="center" wrapText="1"/>
    </xf>
    <xf numFmtId="0" fontId="3" fillId="6" borderId="7" xfId="0" applyNumberFormat="1" applyFont="1" applyFill="1" applyBorder="1" applyAlignment="1">
      <alignment horizontal="center" vertical="center" wrapText="1"/>
    </xf>
    <xf numFmtId="0" fontId="3" fillId="6" borderId="8" xfId="0" applyNumberFormat="1" applyFont="1" applyFill="1" applyBorder="1" applyAlignment="1">
      <alignment horizontal="center" vertical="center" wrapText="1"/>
    </xf>
    <xf numFmtId="0" fontId="3" fillId="6" borderId="3" xfId="0" applyNumberFormat="1" applyFont="1" applyFill="1" applyBorder="1" applyAlignment="1">
      <alignment horizontal="center" vertical="center" wrapText="1"/>
    </xf>
    <xf numFmtId="0" fontId="3" fillId="6" borderId="4" xfId="0" applyNumberFormat="1" applyFont="1" applyFill="1" applyBorder="1" applyAlignment="1">
      <alignment horizontal="center" vertical="center" wrapText="1"/>
    </xf>
    <xf numFmtId="0" fontId="3" fillId="6" borderId="5" xfId="0" applyNumberFormat="1" applyFont="1" applyFill="1" applyBorder="1" applyAlignment="1">
      <alignment horizontal="center" vertical="center" wrapText="1"/>
    </xf>
    <xf numFmtId="0" fontId="3" fillId="6" borderId="9" xfId="0" applyNumberFormat="1" applyFont="1" applyFill="1" applyBorder="1" applyAlignment="1">
      <alignment horizontal="center" vertical="center" wrapText="1"/>
    </xf>
    <xf numFmtId="0" fontId="3" fillId="6" borderId="0" xfId="0" applyNumberFormat="1" applyFont="1" applyFill="1" applyBorder="1" applyAlignment="1">
      <alignment horizontal="center" vertical="center" wrapText="1"/>
    </xf>
    <xf numFmtId="0" fontId="3" fillId="6" borderId="10" xfId="0" applyNumberFormat="1" applyFont="1" applyFill="1" applyBorder="1" applyAlignment="1">
      <alignment horizontal="center" vertical="center" wrapText="1"/>
    </xf>
    <xf numFmtId="0" fontId="2" fillId="7" borderId="23" xfId="0" applyFont="1" applyFill="1" applyBorder="1" applyAlignment="1">
      <alignment horizontal="center"/>
    </xf>
    <xf numFmtId="0" fontId="2" fillId="7" borderId="21" xfId="0" applyFont="1" applyFill="1" applyBorder="1" applyAlignment="1">
      <alignment horizontal="center"/>
    </xf>
    <xf numFmtId="0" fontId="2" fillId="7" borderId="22" xfId="0" applyFont="1" applyFill="1" applyBorder="1" applyAlignment="1">
      <alignment horizontal="center"/>
    </xf>
    <xf numFmtId="0" fontId="3" fillId="6" borderId="0" xfId="0" applyNumberFormat="1" applyFont="1" applyFill="1" applyBorder="1" applyAlignment="1">
      <alignment horizontal="left" vertical="center" wrapText="1"/>
    </xf>
    <xf numFmtId="0" fontId="3" fillId="6" borderId="10" xfId="0" applyNumberFormat="1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5" borderId="16" xfId="0" applyNumberFormat="1" applyFont="1" applyFill="1" applyBorder="1" applyAlignment="1">
      <alignment horizontal="center" wrapText="1"/>
    </xf>
    <xf numFmtId="0" fontId="3" fillId="5" borderId="0" xfId="0" applyNumberFormat="1" applyFont="1" applyFill="1" applyBorder="1" applyAlignment="1">
      <alignment horizontal="center" wrapText="1"/>
    </xf>
    <xf numFmtId="0" fontId="3" fillId="5" borderId="10" xfId="0" applyNumberFormat="1" applyFont="1" applyFill="1" applyBorder="1" applyAlignment="1">
      <alignment horizontal="center" wrapText="1"/>
    </xf>
    <xf numFmtId="1" fontId="3" fillId="2" borderId="18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" fontId="3" fillId="2" borderId="11" xfId="0" applyNumberFormat="1" applyFont="1" applyFill="1" applyBorder="1" applyAlignment="1">
      <alignment horizontal="center"/>
    </xf>
    <xf numFmtId="1" fontId="3" fillId="4" borderId="16" xfId="0" applyNumberFormat="1" applyFont="1" applyFill="1" applyBorder="1" applyAlignment="1">
      <alignment horizontal="center"/>
    </xf>
    <xf numFmtId="1" fontId="3" fillId="4" borderId="0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3737"/>
      <color rgb="FFFF3300"/>
      <color rgb="FF8A0000"/>
      <color rgb="FFCC0000"/>
      <color rgb="FFEA0000"/>
      <color rgb="FFFF0000"/>
      <color rgb="FFE60000"/>
      <color rgb="FFEE0000"/>
      <color rgb="FFC40000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761999</xdr:colOff>
      <xdr:row>1</xdr:row>
      <xdr:rowOff>219074</xdr:rowOff>
    </xdr:from>
    <xdr:to>
      <xdr:col>17</xdr:col>
      <xdr:colOff>1082133</xdr:colOff>
      <xdr:row>14</xdr:row>
      <xdr:rowOff>407884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EC058F4D-CCC4-443C-B548-B3B672BF4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6812" y="419099"/>
          <a:ext cx="3068096" cy="30605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758387</xdr:colOff>
      <xdr:row>1</xdr:row>
      <xdr:rowOff>218746</xdr:rowOff>
    </xdr:from>
    <xdr:to>
      <xdr:col>17</xdr:col>
      <xdr:colOff>1083283</xdr:colOff>
      <xdr:row>14</xdr:row>
      <xdr:rowOff>407228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F22BB1F-75A8-4916-B48D-9EE27AAA2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2525" y="418443"/>
          <a:ext cx="3062841" cy="30578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759908</xdr:colOff>
      <xdr:row>1</xdr:row>
      <xdr:rowOff>222792</xdr:rowOff>
    </xdr:from>
    <xdr:to>
      <xdr:col>17</xdr:col>
      <xdr:colOff>1080042</xdr:colOff>
      <xdr:row>14</xdr:row>
      <xdr:rowOff>411602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01A5D11-07AC-466F-B7D8-6D9C2140D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2503" y="412363"/>
          <a:ext cx="3063334" cy="30509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B2D32-EA4D-4462-9F4B-2F7CAC29B8F0}">
  <sheetPr>
    <tabColor rgb="FFFF3737"/>
  </sheetPr>
  <dimension ref="A1:BR86"/>
  <sheetViews>
    <sheetView showGridLines="0" tabSelected="1" zoomScale="70" zoomScaleNormal="70" workbookViewId="0">
      <selection activeCell="E22" sqref="E22"/>
    </sheetView>
  </sheetViews>
  <sheetFormatPr baseColWidth="10" defaultRowHeight="15" x14ac:dyDescent="0.2"/>
  <cols>
    <col min="1" max="2" width="5.6640625" customWidth="1"/>
    <col min="3" max="3" width="32.5" bestFit="1" customWidth="1"/>
    <col min="4" max="4" width="12.5" customWidth="1"/>
    <col min="5" max="5" width="20.6640625" bestFit="1" customWidth="1"/>
    <col min="6" max="6" width="12.5" style="42" customWidth="1"/>
    <col min="7" max="7" width="22.5" bestFit="1" customWidth="1"/>
    <col min="8" max="8" width="12.5" style="47" customWidth="1"/>
    <col min="9" max="9" width="12.5" customWidth="1"/>
    <col min="10" max="10" width="25.1640625" bestFit="1" customWidth="1"/>
    <col min="11" max="11" width="22.83203125" bestFit="1" customWidth="1"/>
    <col min="12" max="12" width="22.83203125" customWidth="1"/>
    <col min="13" max="16" width="11.5" customWidth="1"/>
    <col min="17" max="17" width="5.6640625" style="22" customWidth="1"/>
    <col min="18" max="18" width="29.5" style="22" bestFit="1" customWidth="1"/>
    <col min="19" max="20" width="12.5" style="22" customWidth="1"/>
    <col min="21" max="21" width="12.5" style="50" customWidth="1"/>
    <col min="22" max="22" width="12.5" style="22" customWidth="1"/>
    <col min="23" max="23" width="12.5" style="51" customWidth="1"/>
    <col min="24" max="24" width="12.5" style="22" customWidth="1"/>
    <col min="25" max="25" width="22.33203125" style="22" bestFit="1" customWidth="1"/>
    <col min="26" max="26" width="22.83203125" style="22" bestFit="1" customWidth="1"/>
    <col min="27" max="27" width="22.83203125" customWidth="1"/>
    <col min="28" max="31" width="11.5" style="22" customWidth="1"/>
    <col min="32" max="32" width="5.6640625" style="22" customWidth="1"/>
    <col min="33" max="33" width="32.5" style="22" bestFit="1" customWidth="1"/>
    <col min="34" max="35" width="12.5" style="22" customWidth="1"/>
    <col min="36" max="36" width="12.5" style="58" customWidth="1"/>
    <col min="37" max="37" width="12.5" style="22" customWidth="1"/>
    <col min="38" max="38" width="12.5" style="58" customWidth="1"/>
    <col min="39" max="39" width="12.5" style="22" customWidth="1"/>
    <col min="40" max="40" width="16.6640625" style="22" bestFit="1" customWidth="1"/>
    <col min="41" max="41" width="22.83203125" style="22" bestFit="1" customWidth="1"/>
    <col min="42" max="42" width="22.83203125" customWidth="1"/>
    <col min="43" max="46" width="11.5" style="22" customWidth="1"/>
    <col min="47" max="47" width="5.6640625" style="22" customWidth="1"/>
    <col min="48" max="48" width="25.5" style="22" bestFit="1" customWidth="1"/>
    <col min="49" max="50" width="12.5" style="22" customWidth="1"/>
    <col min="51" max="51" width="12.5" style="50" customWidth="1"/>
    <col min="52" max="52" width="12.5" style="22" customWidth="1"/>
    <col min="53" max="53" width="12.5" style="51" customWidth="1"/>
    <col min="54" max="54" width="12.5" style="22" customWidth="1"/>
    <col min="55" max="55" width="16" style="22" bestFit="1" customWidth="1"/>
    <col min="56" max="56" width="22.83203125" bestFit="1" customWidth="1"/>
    <col min="57" max="57" width="22.83203125" customWidth="1"/>
    <col min="58" max="61" width="11.5" customWidth="1"/>
    <col min="64" max="64" width="22" style="27" hidden="1" customWidth="1"/>
    <col min="65" max="65" width="3.5" style="27" hidden="1" customWidth="1"/>
    <col min="66" max="66" width="20" style="27" hidden="1" customWidth="1"/>
    <col min="67" max="67" width="11.5" style="27" hidden="1" customWidth="1"/>
    <col min="68" max="68" width="24.6640625" style="27" hidden="1" customWidth="1"/>
    <col min="69" max="69" width="11.5" style="27" hidden="1" customWidth="1"/>
    <col min="70" max="70" width="19" style="27" hidden="1" customWidth="1"/>
    <col min="71" max="71" width="11.5" customWidth="1"/>
  </cols>
  <sheetData>
    <row r="1" spans="2:57" ht="15.5" customHeight="1" x14ac:dyDescent="0.2"/>
    <row r="2" spans="2:57" ht="20.5" customHeight="1" thickBot="1" x14ac:dyDescent="0.25">
      <c r="C2" s="1"/>
      <c r="D2" s="1"/>
      <c r="E2" s="1"/>
      <c r="F2" s="43"/>
      <c r="G2" s="1"/>
      <c r="H2" s="46"/>
      <c r="I2" s="1"/>
      <c r="J2" s="307"/>
      <c r="K2" s="307"/>
      <c r="L2" s="307"/>
      <c r="M2" s="307"/>
      <c r="N2" s="307"/>
      <c r="O2" s="307"/>
      <c r="P2" s="307"/>
      <c r="Q2" s="307"/>
      <c r="AA2" s="22"/>
      <c r="AP2" s="22"/>
    </row>
    <row r="3" spans="2:57" ht="21" customHeight="1" thickBot="1" x14ac:dyDescent="0.25">
      <c r="B3" s="152"/>
      <c r="C3" s="153"/>
      <c r="D3" s="153"/>
      <c r="E3" s="153"/>
      <c r="F3" s="154"/>
      <c r="G3" s="153"/>
      <c r="H3" s="155"/>
      <c r="I3" s="156"/>
    </row>
    <row r="4" spans="2:57" ht="20" thickBot="1" x14ac:dyDescent="0.3">
      <c r="B4" s="157"/>
      <c r="C4" s="98" t="s">
        <v>62</v>
      </c>
      <c r="D4" s="144"/>
      <c r="E4" s="144"/>
      <c r="F4" s="43"/>
      <c r="G4" s="1"/>
      <c r="H4" s="46"/>
      <c r="I4" s="158"/>
    </row>
    <row r="5" spans="2:57" ht="16" x14ac:dyDescent="0.2">
      <c r="B5" s="157"/>
      <c r="C5" s="166" t="s">
        <v>54</v>
      </c>
      <c r="D5" s="145" t="s">
        <v>55</v>
      </c>
      <c r="E5" s="164" t="s">
        <v>4</v>
      </c>
      <c r="F5" s="43"/>
      <c r="G5" s="1"/>
      <c r="H5" s="46"/>
      <c r="I5" s="158"/>
    </row>
    <row r="6" spans="2:57" ht="16" thickBot="1" x14ac:dyDescent="0.25">
      <c r="B6" s="157"/>
      <c r="C6" s="167">
        <v>0</v>
      </c>
      <c r="D6" s="3">
        <v>0</v>
      </c>
      <c r="E6" s="165">
        <f>(C6*D6*0.0333)+D6</f>
        <v>0</v>
      </c>
      <c r="F6" s="43"/>
      <c r="G6" s="1"/>
      <c r="H6" s="46"/>
      <c r="I6" s="158"/>
    </row>
    <row r="7" spans="2:57" x14ac:dyDescent="0.2">
      <c r="B7" s="157"/>
      <c r="C7" s="1"/>
      <c r="D7" s="1"/>
      <c r="E7" s="1"/>
      <c r="F7" s="43"/>
      <c r="G7" s="1"/>
      <c r="H7" s="46"/>
      <c r="I7" s="158"/>
    </row>
    <row r="8" spans="2:57" ht="16" thickBot="1" x14ac:dyDescent="0.25">
      <c r="B8" s="157"/>
      <c r="C8" s="1"/>
      <c r="D8" s="1"/>
      <c r="E8" s="1"/>
      <c r="F8" s="43"/>
      <c r="G8" s="1"/>
      <c r="H8" s="46"/>
      <c r="I8" s="158"/>
      <c r="J8" s="1"/>
      <c r="K8" s="1"/>
      <c r="L8" s="1"/>
      <c r="M8" s="1"/>
      <c r="N8" s="1"/>
      <c r="O8" s="1"/>
      <c r="P8" s="1"/>
      <c r="AA8" s="1"/>
      <c r="AP8" s="1"/>
      <c r="BE8" s="1"/>
    </row>
    <row r="9" spans="2:57" ht="20" thickBot="1" x14ac:dyDescent="0.3">
      <c r="B9" s="157"/>
      <c r="C9" s="215" t="s">
        <v>65</v>
      </c>
      <c r="D9" s="96" t="s">
        <v>52</v>
      </c>
      <c r="E9" s="216" t="s">
        <v>66</v>
      </c>
      <c r="F9" s="96" t="s">
        <v>52</v>
      </c>
      <c r="G9" s="216" t="s">
        <v>67</v>
      </c>
      <c r="H9" s="97" t="s">
        <v>52</v>
      </c>
      <c r="I9" s="158"/>
      <c r="J9" s="1"/>
      <c r="K9" s="37" t="s">
        <v>4</v>
      </c>
      <c r="L9" s="37"/>
      <c r="M9" s="1"/>
      <c r="N9" s="1"/>
      <c r="O9" s="1"/>
      <c r="P9" s="1"/>
      <c r="AA9" s="37"/>
      <c r="AP9" s="37"/>
      <c r="BE9" s="37"/>
    </row>
    <row r="10" spans="2:57" ht="16" x14ac:dyDescent="0.2">
      <c r="B10" s="157"/>
      <c r="C10" s="217" t="s">
        <v>92</v>
      </c>
      <c r="D10" s="146">
        <v>0</v>
      </c>
      <c r="E10" s="220" t="s">
        <v>93</v>
      </c>
      <c r="F10" s="146">
        <v>0</v>
      </c>
      <c r="G10" s="220" t="s">
        <v>94</v>
      </c>
      <c r="H10" s="147">
        <v>0</v>
      </c>
      <c r="I10" s="158"/>
      <c r="J10" s="1"/>
      <c r="K10" s="38"/>
      <c r="L10" s="38"/>
      <c r="M10" s="2"/>
      <c r="N10" s="2"/>
      <c r="O10" s="1"/>
      <c r="P10" s="1"/>
      <c r="AA10" s="38"/>
      <c r="AP10" s="38"/>
      <c r="BE10" s="38"/>
    </row>
    <row r="11" spans="2:57" ht="16" x14ac:dyDescent="0.2">
      <c r="B11" s="157"/>
      <c r="C11" s="168" t="s">
        <v>71</v>
      </c>
      <c r="D11" s="148">
        <f>D10*0.9</f>
        <v>0</v>
      </c>
      <c r="E11" s="169" t="s">
        <v>72</v>
      </c>
      <c r="F11" s="148">
        <f>F10*0.925</f>
        <v>0</v>
      </c>
      <c r="G11" s="169" t="s">
        <v>98</v>
      </c>
      <c r="H11" s="149">
        <f>0.93*H10</f>
        <v>0</v>
      </c>
      <c r="I11" s="158"/>
      <c r="K11" s="1"/>
      <c r="L11" s="1"/>
      <c r="M11" s="2"/>
      <c r="N11" s="2"/>
      <c r="O11" s="1"/>
      <c r="P11" s="1"/>
      <c r="AA11" s="1"/>
      <c r="AP11" s="1"/>
      <c r="BE11" s="1"/>
    </row>
    <row r="12" spans="2:57" ht="16" x14ac:dyDescent="0.2">
      <c r="B12" s="157"/>
      <c r="C12" s="218" t="s">
        <v>74</v>
      </c>
      <c r="D12" s="146">
        <f>D10*0.85</f>
        <v>0</v>
      </c>
      <c r="E12" s="221" t="s">
        <v>75</v>
      </c>
      <c r="F12" s="146">
        <f>F10*0.9</f>
        <v>0</v>
      </c>
      <c r="G12" s="221" t="s">
        <v>97</v>
      </c>
      <c r="H12" s="147">
        <f>0.85*H10</f>
        <v>0</v>
      </c>
      <c r="I12" s="158"/>
      <c r="M12" s="1"/>
      <c r="N12" s="1"/>
      <c r="O12" s="1"/>
      <c r="P12" s="1"/>
    </row>
    <row r="13" spans="2:57" ht="17" thickBot="1" x14ac:dyDescent="0.25">
      <c r="B13" s="157"/>
      <c r="C13" s="219" t="s">
        <v>95</v>
      </c>
      <c r="D13" s="150">
        <f>D10*0.85</f>
        <v>0</v>
      </c>
      <c r="E13" s="222" t="s">
        <v>99</v>
      </c>
      <c r="F13" s="150">
        <f>0.9*F10</f>
        <v>0</v>
      </c>
      <c r="G13" s="222" t="s">
        <v>102</v>
      </c>
      <c r="H13" s="151" t="s">
        <v>3</v>
      </c>
      <c r="I13" s="158"/>
      <c r="K13" s="1"/>
      <c r="L13" s="1"/>
      <c r="M13" s="1"/>
      <c r="N13" s="1"/>
      <c r="O13" s="1"/>
      <c r="P13" s="1"/>
      <c r="AA13" s="1"/>
      <c r="AP13" s="1"/>
      <c r="BE13" s="1"/>
    </row>
    <row r="14" spans="2:57" ht="24" customHeight="1" thickBot="1" x14ac:dyDescent="0.25">
      <c r="B14" s="159"/>
      <c r="C14" s="160"/>
      <c r="D14" s="160"/>
      <c r="E14" s="160"/>
      <c r="F14" s="161"/>
      <c r="G14" s="160"/>
      <c r="H14" s="162"/>
      <c r="I14" s="163"/>
      <c r="J14" s="1"/>
      <c r="K14" s="1"/>
      <c r="L14" s="1"/>
      <c r="M14" s="1"/>
      <c r="N14" s="1"/>
      <c r="O14" s="1"/>
      <c r="P14" s="1"/>
      <c r="AA14" s="1"/>
      <c r="AP14" s="1"/>
      <c r="BE14" s="1"/>
    </row>
    <row r="15" spans="2:57" ht="42.5" customHeight="1" thickBot="1" x14ac:dyDescent="0.25">
      <c r="C15" s="1"/>
      <c r="D15" s="1"/>
      <c r="E15" s="1"/>
      <c r="F15" s="43"/>
      <c r="G15" s="1"/>
      <c r="H15" s="46"/>
      <c r="I15" s="1"/>
      <c r="J15" s="1"/>
      <c r="K15" s="1"/>
      <c r="L15" s="1"/>
      <c r="M15" s="1"/>
      <c r="N15" s="1"/>
      <c r="O15" s="1"/>
      <c r="P15" s="1"/>
      <c r="AA15" s="1"/>
      <c r="AP15" s="1"/>
      <c r="BE15" s="1"/>
    </row>
    <row r="16" spans="2:57" ht="25" thickBot="1" x14ac:dyDescent="0.25">
      <c r="C16" s="95" t="s">
        <v>64</v>
      </c>
      <c r="D16" s="1"/>
      <c r="E16" s="1"/>
      <c r="F16" s="43"/>
      <c r="G16" s="1"/>
      <c r="H16" s="46"/>
      <c r="I16" s="1"/>
      <c r="J16" s="1"/>
      <c r="K16" s="1"/>
      <c r="L16" s="1"/>
      <c r="M16" s="1"/>
      <c r="N16" s="1"/>
      <c r="O16" s="1"/>
      <c r="P16" s="1"/>
      <c r="AA16" s="1"/>
      <c r="AP16" s="1"/>
      <c r="BE16" s="1"/>
    </row>
    <row r="17" spans="3:70" ht="20" thickBot="1" x14ac:dyDescent="0.3">
      <c r="C17" s="188" t="s">
        <v>104</v>
      </c>
      <c r="D17" s="299" t="s">
        <v>128</v>
      </c>
      <c r="E17" s="189" t="s">
        <v>54</v>
      </c>
      <c r="F17" s="308" t="s">
        <v>27</v>
      </c>
      <c r="G17" s="308"/>
      <c r="H17" s="309"/>
      <c r="I17" s="189" t="s">
        <v>5</v>
      </c>
      <c r="J17" s="189" t="s">
        <v>129</v>
      </c>
      <c r="K17" s="189" t="s">
        <v>7</v>
      </c>
      <c r="L17" s="190" t="s">
        <v>63</v>
      </c>
      <c r="M17" s="310" t="s">
        <v>6</v>
      </c>
      <c r="N17" s="308"/>
      <c r="O17" s="308"/>
      <c r="P17" s="311"/>
      <c r="Q17" s="176"/>
      <c r="R17" s="142" t="s">
        <v>105</v>
      </c>
      <c r="S17" s="299" t="s">
        <v>128</v>
      </c>
      <c r="T17" s="299" t="s">
        <v>54</v>
      </c>
      <c r="U17" s="308" t="s">
        <v>27</v>
      </c>
      <c r="V17" s="308"/>
      <c r="W17" s="309"/>
      <c r="X17" s="299" t="s">
        <v>5</v>
      </c>
      <c r="Y17" s="299" t="s">
        <v>129</v>
      </c>
      <c r="Z17" s="299" t="s">
        <v>7</v>
      </c>
      <c r="AA17" s="298" t="s">
        <v>63</v>
      </c>
      <c r="AB17" s="310" t="s">
        <v>6</v>
      </c>
      <c r="AC17" s="308"/>
      <c r="AD17" s="308"/>
      <c r="AE17" s="311"/>
      <c r="AF17" s="176"/>
      <c r="AG17" s="142" t="s">
        <v>106</v>
      </c>
      <c r="AH17" s="299" t="s">
        <v>128</v>
      </c>
      <c r="AI17" s="299" t="s">
        <v>54</v>
      </c>
      <c r="AJ17" s="308" t="s">
        <v>27</v>
      </c>
      <c r="AK17" s="308"/>
      <c r="AL17" s="309"/>
      <c r="AM17" s="299" t="s">
        <v>5</v>
      </c>
      <c r="AN17" s="299" t="s">
        <v>129</v>
      </c>
      <c r="AO17" s="299" t="s">
        <v>7</v>
      </c>
      <c r="AP17" s="298" t="s">
        <v>63</v>
      </c>
      <c r="AQ17" s="310" t="s">
        <v>6</v>
      </c>
      <c r="AR17" s="308"/>
      <c r="AS17" s="308"/>
      <c r="AT17" s="311"/>
      <c r="AU17" s="26"/>
      <c r="AV17" s="188" t="s">
        <v>107</v>
      </c>
      <c r="AW17" s="299" t="s">
        <v>128</v>
      </c>
      <c r="AX17" s="299" t="s">
        <v>54</v>
      </c>
      <c r="AY17" s="308" t="s">
        <v>27</v>
      </c>
      <c r="AZ17" s="308"/>
      <c r="BA17" s="309"/>
      <c r="BB17" s="299" t="s">
        <v>5</v>
      </c>
      <c r="BC17" s="299" t="s">
        <v>129</v>
      </c>
      <c r="BD17" s="299" t="s">
        <v>7</v>
      </c>
      <c r="BE17" s="298" t="s">
        <v>63</v>
      </c>
      <c r="BF17" s="310" t="s">
        <v>6</v>
      </c>
      <c r="BG17" s="308"/>
      <c r="BH17" s="308"/>
      <c r="BI17" s="311"/>
      <c r="BL17" s="27" t="s">
        <v>68</v>
      </c>
      <c r="BN17" s="27" t="s">
        <v>15</v>
      </c>
      <c r="BP17" s="27" t="s">
        <v>69</v>
      </c>
      <c r="BR17" s="27" t="s">
        <v>70</v>
      </c>
    </row>
    <row r="18" spans="3:70" ht="17" thickBot="1" x14ac:dyDescent="0.25">
      <c r="C18" s="191" t="s">
        <v>92</v>
      </c>
      <c r="D18" s="300">
        <v>3</v>
      </c>
      <c r="E18" s="223">
        <v>6</v>
      </c>
      <c r="F18" s="284">
        <f>(0.7*D10)-5</f>
        <v>-5</v>
      </c>
      <c r="G18" s="297" t="s">
        <v>3</v>
      </c>
      <c r="H18" s="285">
        <f>(0.7*D10)+5</f>
        <v>5</v>
      </c>
      <c r="I18" s="224">
        <v>6</v>
      </c>
      <c r="J18" s="223" t="s">
        <v>58</v>
      </c>
      <c r="K18" s="119"/>
      <c r="L18" s="180"/>
      <c r="M18" s="318"/>
      <c r="N18" s="319"/>
      <c r="O18" s="319"/>
      <c r="P18" s="333"/>
      <c r="Q18" s="24"/>
      <c r="R18" s="118" t="s">
        <v>94</v>
      </c>
      <c r="S18" s="232">
        <v>3</v>
      </c>
      <c r="T18" s="232">
        <v>5</v>
      </c>
      <c r="U18" s="284">
        <f>(0.74*H10)-5</f>
        <v>-5</v>
      </c>
      <c r="V18" s="297" t="s">
        <v>3</v>
      </c>
      <c r="W18" s="285">
        <f>(0.74*H10)+5</f>
        <v>5</v>
      </c>
      <c r="X18" s="235">
        <v>6</v>
      </c>
      <c r="Y18" s="232" t="s">
        <v>37</v>
      </c>
      <c r="Z18" s="119"/>
      <c r="AA18" s="180"/>
      <c r="AB18" s="318"/>
      <c r="AC18" s="319"/>
      <c r="AD18" s="319"/>
      <c r="AE18" s="320"/>
      <c r="AF18" s="24"/>
      <c r="AG18" s="118" t="s">
        <v>95</v>
      </c>
      <c r="AH18" s="258">
        <v>3</v>
      </c>
      <c r="AI18" s="258">
        <v>7</v>
      </c>
      <c r="AJ18" s="284">
        <f>(0.68*D13)-5</f>
        <v>-5</v>
      </c>
      <c r="AK18" s="297" t="s">
        <v>3</v>
      </c>
      <c r="AL18" s="285">
        <f>(0.68*D13)+5</f>
        <v>5</v>
      </c>
      <c r="AM18" s="261" t="s">
        <v>29</v>
      </c>
      <c r="AN18" s="258" t="s">
        <v>59</v>
      </c>
      <c r="AO18" s="119"/>
      <c r="AP18" s="180"/>
      <c r="AQ18" s="318"/>
      <c r="AR18" s="319"/>
      <c r="AS18" s="319"/>
      <c r="AT18" s="320"/>
      <c r="AU18" s="25"/>
      <c r="AV18" s="191" t="s">
        <v>93</v>
      </c>
      <c r="AW18" s="274">
        <v>3</v>
      </c>
      <c r="AX18" s="274">
        <v>5</v>
      </c>
      <c r="AY18" s="284">
        <f>(0.74*F10)-5</f>
        <v>-5</v>
      </c>
      <c r="AZ18" s="297" t="s">
        <v>3</v>
      </c>
      <c r="BA18" s="285">
        <f>(0.74*F10)+5</f>
        <v>5</v>
      </c>
      <c r="BB18" s="277" t="s">
        <v>29</v>
      </c>
      <c r="BC18" s="274" t="s">
        <v>57</v>
      </c>
      <c r="BD18" s="119"/>
      <c r="BE18" s="180"/>
      <c r="BF18" s="318"/>
      <c r="BG18" s="319"/>
      <c r="BH18" s="319"/>
      <c r="BI18" s="333"/>
      <c r="BL18" s="27" t="s">
        <v>71</v>
      </c>
      <c r="BN18" s="27" t="s">
        <v>16</v>
      </c>
      <c r="BP18" s="27" t="s">
        <v>72</v>
      </c>
      <c r="BR18" s="27" t="s">
        <v>73</v>
      </c>
    </row>
    <row r="19" spans="3:70" ht="17" thickBot="1" x14ac:dyDescent="0.25">
      <c r="C19" s="202" t="s">
        <v>68</v>
      </c>
      <c r="D19" s="225">
        <v>2</v>
      </c>
      <c r="E19" s="225">
        <v>4</v>
      </c>
      <c r="F19" s="293">
        <f>IF(C30="2ct. WK-Kniebeuge",(D11*0.75)-5,(D12*0.75)-5)</f>
        <v>-5</v>
      </c>
      <c r="G19" s="296" t="s">
        <v>3</v>
      </c>
      <c r="H19" s="292">
        <f>IF(C30="2ct. WK-Kniebeuge",(D11*0.75)+5,(D12*0.75)+5)</f>
        <v>5</v>
      </c>
      <c r="I19" s="228">
        <v>6</v>
      </c>
      <c r="J19" s="227" t="s">
        <v>58</v>
      </c>
      <c r="K19" s="121"/>
      <c r="L19" s="181"/>
      <c r="M19" s="304" t="s">
        <v>30</v>
      </c>
      <c r="N19" s="305"/>
      <c r="O19" s="305"/>
      <c r="P19" s="329"/>
      <c r="Q19" s="24"/>
      <c r="R19" s="64" t="s">
        <v>69</v>
      </c>
      <c r="S19" s="233">
        <v>2</v>
      </c>
      <c r="T19" s="233">
        <v>3</v>
      </c>
      <c r="U19" s="293">
        <f>IF(R30="3ct. WK-Bankdrücken",(F11*0.76)-5,(F12*0.76)-5)</f>
        <v>-5</v>
      </c>
      <c r="V19" s="296" t="s">
        <v>3</v>
      </c>
      <c r="W19" s="292">
        <f>IF(R30="3ct. WK-Bankdrücken",(F11*0.76)+5,(F12*0.76)+5)</f>
        <v>5</v>
      </c>
      <c r="X19" s="234">
        <v>6</v>
      </c>
      <c r="Y19" s="233" t="s">
        <v>57</v>
      </c>
      <c r="Z19" s="121"/>
      <c r="AA19" s="181"/>
      <c r="AB19" s="304"/>
      <c r="AC19" s="305"/>
      <c r="AD19" s="305"/>
      <c r="AE19" s="306"/>
      <c r="AF19" s="24"/>
      <c r="AG19" s="49" t="s">
        <v>70</v>
      </c>
      <c r="AH19" s="259">
        <v>2</v>
      </c>
      <c r="AI19" s="275">
        <f>IF(AG19="Kreuzheben im Reißgriff",6,8)</f>
        <v>8</v>
      </c>
      <c r="AJ19" s="262"/>
      <c r="AK19" s="257" t="s">
        <v>3</v>
      </c>
      <c r="AL19" s="263"/>
      <c r="AM19" s="260" t="s">
        <v>29</v>
      </c>
      <c r="AN19" s="259" t="s">
        <v>56</v>
      </c>
      <c r="AO19" s="121"/>
      <c r="AP19" s="181"/>
      <c r="AQ19" s="304"/>
      <c r="AR19" s="305"/>
      <c r="AS19" s="305"/>
      <c r="AT19" s="306"/>
      <c r="AU19" s="25"/>
      <c r="AV19" s="192" t="s">
        <v>99</v>
      </c>
      <c r="AW19" s="275">
        <v>2</v>
      </c>
      <c r="AX19" s="275">
        <v>7</v>
      </c>
      <c r="AY19" s="293">
        <f>(0.69*F13)-5</f>
        <v>-5</v>
      </c>
      <c r="AZ19" s="296" t="s">
        <v>3</v>
      </c>
      <c r="BA19" s="292">
        <f>(0.69*F13)+5</f>
        <v>5</v>
      </c>
      <c r="BB19" s="276">
        <v>6</v>
      </c>
      <c r="BC19" s="275" t="s">
        <v>57</v>
      </c>
      <c r="BD19" s="121"/>
      <c r="BE19" s="181"/>
      <c r="BF19" s="304"/>
      <c r="BG19" s="305"/>
      <c r="BH19" s="305"/>
      <c r="BI19" s="329"/>
      <c r="BL19" s="27" t="s">
        <v>74</v>
      </c>
      <c r="BN19" s="27" t="s">
        <v>17</v>
      </c>
      <c r="BP19" s="27" t="s">
        <v>75</v>
      </c>
      <c r="BR19" s="27" t="s">
        <v>76</v>
      </c>
    </row>
    <row r="20" spans="3:70" ht="17" thickBot="1" x14ac:dyDescent="0.25">
      <c r="C20" s="191" t="s">
        <v>93</v>
      </c>
      <c r="D20" s="119">
        <v>3</v>
      </c>
      <c r="E20" s="119">
        <v>8</v>
      </c>
      <c r="F20" s="33"/>
      <c r="G20" s="171" t="s">
        <v>3</v>
      </c>
      <c r="H20" s="31"/>
      <c r="I20" s="32">
        <v>6</v>
      </c>
      <c r="J20" s="119" t="s">
        <v>57</v>
      </c>
      <c r="K20" s="119"/>
      <c r="L20" s="180"/>
      <c r="M20" s="312"/>
      <c r="N20" s="313"/>
      <c r="O20" s="313"/>
      <c r="P20" s="328"/>
      <c r="Q20" s="24"/>
      <c r="R20" s="65" t="s">
        <v>79</v>
      </c>
      <c r="S20" s="238">
        <v>2</v>
      </c>
      <c r="T20" s="238">
        <v>10</v>
      </c>
      <c r="U20" s="240"/>
      <c r="V20" s="237" t="s">
        <v>3</v>
      </c>
      <c r="W20" s="241"/>
      <c r="X20" s="242">
        <v>6</v>
      </c>
      <c r="Y20" s="238"/>
      <c r="Z20" s="119"/>
      <c r="AA20" s="180"/>
      <c r="AB20" s="312"/>
      <c r="AC20" s="313"/>
      <c r="AD20" s="313"/>
      <c r="AE20" s="314"/>
      <c r="AF20" s="24"/>
      <c r="AG20" s="48" t="s">
        <v>77</v>
      </c>
      <c r="AH20" s="265">
        <v>3</v>
      </c>
      <c r="AI20" s="266" t="s">
        <v>103</v>
      </c>
      <c r="AJ20" s="267"/>
      <c r="AK20" s="264" t="s">
        <v>3</v>
      </c>
      <c r="AL20" s="268"/>
      <c r="AM20" s="266" t="s">
        <v>29</v>
      </c>
      <c r="AN20" s="119"/>
      <c r="AO20" s="119"/>
      <c r="AP20" s="180"/>
      <c r="AQ20" s="312"/>
      <c r="AR20" s="313"/>
      <c r="AS20" s="313"/>
      <c r="AT20" s="314"/>
      <c r="AU20" s="25"/>
      <c r="AV20" s="193" t="s">
        <v>15</v>
      </c>
      <c r="AW20" s="279">
        <v>3</v>
      </c>
      <c r="AX20" s="266" t="s">
        <v>26</v>
      </c>
      <c r="AY20" s="281"/>
      <c r="AZ20" s="278" t="s">
        <v>3</v>
      </c>
      <c r="BA20" s="282"/>
      <c r="BB20" s="280" t="s">
        <v>29</v>
      </c>
      <c r="BC20" s="119"/>
      <c r="BD20" s="119"/>
      <c r="BE20" s="180"/>
      <c r="BF20" s="312"/>
      <c r="BG20" s="313"/>
      <c r="BH20" s="313"/>
      <c r="BI20" s="328"/>
      <c r="BL20" s="27" t="s">
        <v>77</v>
      </c>
      <c r="BN20" s="27" t="s">
        <v>78</v>
      </c>
      <c r="BP20" s="27" t="s">
        <v>79</v>
      </c>
      <c r="BR20" s="27" t="s">
        <v>80</v>
      </c>
    </row>
    <row r="21" spans="3:70" ht="17" thickBot="1" x14ac:dyDescent="0.25">
      <c r="C21" s="209" t="s">
        <v>77</v>
      </c>
      <c r="D21" s="227">
        <v>3</v>
      </c>
      <c r="E21" s="275" t="str">
        <f>IF(OR(C21="Pendlay Rudern"),"6","10")</f>
        <v>10</v>
      </c>
      <c r="F21" s="230"/>
      <c r="G21" s="226" t="s">
        <v>3</v>
      </c>
      <c r="H21" s="229"/>
      <c r="I21" s="143" t="s">
        <v>29</v>
      </c>
      <c r="J21" s="121"/>
      <c r="K21" s="121"/>
      <c r="L21" s="181"/>
      <c r="M21" s="304"/>
      <c r="N21" s="305"/>
      <c r="O21" s="305"/>
      <c r="P21" s="329"/>
      <c r="Q21" s="24"/>
      <c r="R21" s="64" t="s">
        <v>78</v>
      </c>
      <c r="S21" s="239">
        <v>2</v>
      </c>
      <c r="T21" s="275" t="str">
        <f>IF(OR(R21="Dips",R21="Military Press"),"6","10")</f>
        <v>10</v>
      </c>
      <c r="U21" s="244"/>
      <c r="V21" s="236" t="s">
        <v>3</v>
      </c>
      <c r="W21" s="243"/>
      <c r="X21" s="255" t="s">
        <v>29</v>
      </c>
      <c r="Y21" s="121"/>
      <c r="Z21" s="121"/>
      <c r="AA21" s="181"/>
      <c r="AB21" s="304"/>
      <c r="AC21" s="305"/>
      <c r="AD21" s="305"/>
      <c r="AE21" s="306"/>
      <c r="AF21" s="24"/>
      <c r="AG21" s="120" t="s">
        <v>24</v>
      </c>
      <c r="AH21" s="270">
        <v>2</v>
      </c>
      <c r="AI21" s="270">
        <v>8</v>
      </c>
      <c r="AJ21" s="272"/>
      <c r="AK21" s="269" t="s">
        <v>3</v>
      </c>
      <c r="AL21" s="273"/>
      <c r="AM21" s="271" t="s">
        <v>29</v>
      </c>
      <c r="AN21" s="121"/>
      <c r="AO21" s="121"/>
      <c r="AP21" s="181"/>
      <c r="AQ21" s="304"/>
      <c r="AR21" s="305"/>
      <c r="AS21" s="305"/>
      <c r="AT21" s="306"/>
      <c r="AU21" s="25"/>
      <c r="AV21" s="202" t="s">
        <v>87</v>
      </c>
      <c r="AW21" s="121">
        <v>3</v>
      </c>
      <c r="AX21" s="29">
        <v>10</v>
      </c>
      <c r="AY21" s="44"/>
      <c r="AZ21" s="170" t="s">
        <v>3</v>
      </c>
      <c r="BA21" s="35"/>
      <c r="BB21" s="29">
        <v>7</v>
      </c>
      <c r="BC21" s="121"/>
      <c r="BD21" s="121"/>
      <c r="BE21" s="181"/>
      <c r="BF21" s="304"/>
      <c r="BG21" s="305"/>
      <c r="BH21" s="305"/>
      <c r="BI21" s="329"/>
      <c r="BL21" s="27" t="s">
        <v>60</v>
      </c>
      <c r="BN21" s="27" t="s">
        <v>0</v>
      </c>
      <c r="BP21" s="27" t="s">
        <v>23</v>
      </c>
      <c r="BR21" s="27" t="s">
        <v>15</v>
      </c>
    </row>
    <row r="22" spans="3:70" ht="17" thickBot="1" x14ac:dyDescent="0.25">
      <c r="C22" s="210" t="s">
        <v>78</v>
      </c>
      <c r="D22" s="119">
        <v>2</v>
      </c>
      <c r="E22" s="279">
        <f>IF(OR(C22="Dips",C22="LH Schulterdrücken"),5,8)</f>
        <v>8</v>
      </c>
      <c r="F22" s="33"/>
      <c r="G22" s="171" t="s">
        <v>3</v>
      </c>
      <c r="H22" s="31"/>
      <c r="I22" s="231" t="s">
        <v>29</v>
      </c>
      <c r="J22" s="119"/>
      <c r="K22" s="119"/>
      <c r="L22" s="180"/>
      <c r="M22" s="312"/>
      <c r="N22" s="313"/>
      <c r="O22" s="313"/>
      <c r="P22" s="328"/>
      <c r="Q22" s="24"/>
      <c r="R22" s="118" t="s">
        <v>19</v>
      </c>
      <c r="S22" s="252">
        <v>2</v>
      </c>
      <c r="T22" s="252">
        <v>8</v>
      </c>
      <c r="U22" s="250"/>
      <c r="V22" s="248" t="s">
        <v>3</v>
      </c>
      <c r="W22" s="251"/>
      <c r="X22" s="256" t="s">
        <v>29</v>
      </c>
      <c r="Y22" s="245"/>
      <c r="Z22" s="119"/>
      <c r="AA22" s="180"/>
      <c r="AB22" s="312"/>
      <c r="AC22" s="313"/>
      <c r="AD22" s="313"/>
      <c r="AE22" s="314"/>
      <c r="AF22" s="24"/>
      <c r="AG22" s="118" t="s">
        <v>96</v>
      </c>
      <c r="AH22" s="119"/>
      <c r="AI22" s="119"/>
      <c r="AJ22" s="172"/>
      <c r="AK22" s="171" t="s">
        <v>3</v>
      </c>
      <c r="AL22" s="173"/>
      <c r="AM22" s="119"/>
      <c r="AN22" s="119"/>
      <c r="AO22" s="119"/>
      <c r="AP22" s="180"/>
      <c r="AQ22" s="312"/>
      <c r="AR22" s="313"/>
      <c r="AS22" s="313"/>
      <c r="AT22" s="314"/>
      <c r="AU22" s="25"/>
      <c r="AV22" s="191" t="s">
        <v>19</v>
      </c>
      <c r="AW22" s="286">
        <v>2</v>
      </c>
      <c r="AX22" s="286">
        <v>8</v>
      </c>
      <c r="AY22" s="284"/>
      <c r="AZ22" s="283" t="s">
        <v>3</v>
      </c>
      <c r="BA22" s="285"/>
      <c r="BB22" s="286" t="s">
        <v>29</v>
      </c>
      <c r="BC22" s="119"/>
      <c r="BD22" s="119"/>
      <c r="BE22" s="180"/>
      <c r="BF22" s="312"/>
      <c r="BG22" s="313"/>
      <c r="BH22" s="313"/>
      <c r="BI22" s="328"/>
      <c r="BL22" s="27" t="s">
        <v>61</v>
      </c>
      <c r="BN22" s="27" t="s">
        <v>81</v>
      </c>
      <c r="BP22" s="27" t="s">
        <v>21</v>
      </c>
      <c r="BR22" s="27" t="s">
        <v>25</v>
      </c>
    </row>
    <row r="23" spans="3:70" ht="16" x14ac:dyDescent="0.2">
      <c r="C23" s="192" t="s">
        <v>96</v>
      </c>
      <c r="D23" s="121"/>
      <c r="E23" s="121"/>
      <c r="F23" s="44"/>
      <c r="G23" s="170" t="s">
        <v>3</v>
      </c>
      <c r="H23" s="35"/>
      <c r="I23" s="121"/>
      <c r="J23" s="121"/>
      <c r="K23" s="121"/>
      <c r="L23" s="181"/>
      <c r="M23" s="304"/>
      <c r="N23" s="305"/>
      <c r="O23" s="305"/>
      <c r="P23" s="329"/>
      <c r="Q23" s="24"/>
      <c r="R23" s="120" t="s">
        <v>20</v>
      </c>
      <c r="S23" s="249">
        <v>2</v>
      </c>
      <c r="T23" s="249">
        <v>8</v>
      </c>
      <c r="U23" s="254"/>
      <c r="V23" s="247" t="s">
        <v>3</v>
      </c>
      <c r="W23" s="253"/>
      <c r="X23" s="255" t="s">
        <v>29</v>
      </c>
      <c r="Y23" s="246"/>
      <c r="Z23" s="121"/>
      <c r="AA23" s="181"/>
      <c r="AB23" s="304"/>
      <c r="AC23" s="305"/>
      <c r="AD23" s="305"/>
      <c r="AE23" s="306"/>
      <c r="AF23" s="24"/>
      <c r="AG23" s="120"/>
      <c r="AH23" s="121"/>
      <c r="AI23" s="121"/>
      <c r="AJ23" s="174"/>
      <c r="AK23" s="170" t="s">
        <v>3</v>
      </c>
      <c r="AL23" s="175"/>
      <c r="AM23" s="121"/>
      <c r="AN23" s="121"/>
      <c r="AO23" s="121"/>
      <c r="AP23" s="181"/>
      <c r="AQ23" s="304"/>
      <c r="AR23" s="305"/>
      <c r="AS23" s="305"/>
      <c r="AT23" s="306"/>
      <c r="AU23" s="25"/>
      <c r="AV23" s="192" t="s">
        <v>20</v>
      </c>
      <c r="AW23" s="290">
        <v>2</v>
      </c>
      <c r="AX23" s="290">
        <v>8</v>
      </c>
      <c r="AY23" s="293"/>
      <c r="AZ23" s="287" t="s">
        <v>3</v>
      </c>
      <c r="BA23" s="292"/>
      <c r="BB23" s="290" t="s">
        <v>29</v>
      </c>
      <c r="BC23" s="121"/>
      <c r="BD23" s="121"/>
      <c r="BE23" s="181"/>
      <c r="BF23" s="304"/>
      <c r="BG23" s="305"/>
      <c r="BH23" s="305"/>
      <c r="BI23" s="329"/>
      <c r="BL23" s="27" t="s">
        <v>82</v>
      </c>
      <c r="BN23" s="27" t="s">
        <v>83</v>
      </c>
      <c r="BP23" s="27" t="s">
        <v>22</v>
      </c>
      <c r="BR23" s="27" t="s">
        <v>16</v>
      </c>
    </row>
    <row r="24" spans="3:70" ht="17" thickBot="1" x14ac:dyDescent="0.25">
      <c r="C24" s="203"/>
      <c r="D24" s="204"/>
      <c r="E24" s="204"/>
      <c r="F24" s="211"/>
      <c r="G24" s="206" t="s">
        <v>3</v>
      </c>
      <c r="H24" s="212"/>
      <c r="I24" s="204"/>
      <c r="J24" s="204"/>
      <c r="K24" s="204"/>
      <c r="L24" s="208"/>
      <c r="M24" s="330"/>
      <c r="N24" s="331"/>
      <c r="O24" s="331"/>
      <c r="P24" s="332"/>
      <c r="Q24" s="24"/>
      <c r="R24" s="122"/>
      <c r="S24" s="123"/>
      <c r="T24" s="123"/>
      <c r="U24" s="45"/>
      <c r="V24" s="117" t="s">
        <v>3</v>
      </c>
      <c r="W24" s="36"/>
      <c r="X24" s="123"/>
      <c r="Y24" s="123"/>
      <c r="Z24" s="123"/>
      <c r="AA24" s="182"/>
      <c r="AB24" s="321"/>
      <c r="AC24" s="322"/>
      <c r="AD24" s="322"/>
      <c r="AE24" s="323"/>
      <c r="AF24" s="24"/>
      <c r="AG24" s="122"/>
      <c r="AH24" s="123"/>
      <c r="AI24" s="123"/>
      <c r="AJ24" s="139"/>
      <c r="AK24" s="117" t="s">
        <v>3</v>
      </c>
      <c r="AL24" s="141"/>
      <c r="AM24" s="123"/>
      <c r="AN24" s="123"/>
      <c r="AO24" s="123"/>
      <c r="AP24" s="182"/>
      <c r="AQ24" s="321"/>
      <c r="AR24" s="322"/>
      <c r="AS24" s="322"/>
      <c r="AT24" s="323"/>
      <c r="AU24" s="25"/>
      <c r="AV24" s="203"/>
      <c r="AW24" s="204"/>
      <c r="AX24" s="204"/>
      <c r="AY24" s="205"/>
      <c r="AZ24" s="206" t="s">
        <v>3</v>
      </c>
      <c r="BA24" s="207"/>
      <c r="BB24" s="204"/>
      <c r="BC24" s="204"/>
      <c r="BD24" s="204"/>
      <c r="BE24" s="208"/>
      <c r="BF24" s="330"/>
      <c r="BG24" s="331"/>
      <c r="BH24" s="331"/>
      <c r="BI24" s="332"/>
      <c r="BL24" s="27" t="s">
        <v>84</v>
      </c>
      <c r="BN24" s="27" t="s">
        <v>85</v>
      </c>
      <c r="BR24" s="27" t="s">
        <v>17</v>
      </c>
    </row>
    <row r="25" spans="3:70" ht="16" x14ac:dyDescent="0.2">
      <c r="C25" s="24"/>
      <c r="D25" s="24"/>
      <c r="E25" s="24"/>
      <c r="F25" s="87"/>
      <c r="G25" s="66"/>
      <c r="H25" s="88"/>
      <c r="I25" s="24"/>
      <c r="J25" s="24"/>
      <c r="K25" s="24"/>
      <c r="L25" s="24"/>
      <c r="M25" s="83"/>
      <c r="N25" s="83"/>
      <c r="O25" s="83"/>
      <c r="P25" s="83"/>
      <c r="R25" s="24"/>
      <c r="S25" s="24"/>
      <c r="T25" s="24"/>
      <c r="U25" s="87"/>
      <c r="V25" s="66" t="s">
        <v>3</v>
      </c>
      <c r="W25" s="88"/>
      <c r="X25" s="24"/>
      <c r="Y25" s="24"/>
      <c r="Z25" s="24"/>
      <c r="AA25" s="24"/>
      <c r="AB25" s="83"/>
      <c r="AC25" s="83"/>
      <c r="AD25" s="83"/>
      <c r="AE25" s="83"/>
      <c r="AP25" s="24"/>
      <c r="BE25" s="24"/>
      <c r="BL25" s="27" t="s">
        <v>1</v>
      </c>
      <c r="BN25" s="27" t="s">
        <v>86</v>
      </c>
    </row>
    <row r="26" spans="3:70" ht="16" thickBot="1" x14ac:dyDescent="0.25">
      <c r="BL26" s="27" t="s">
        <v>13</v>
      </c>
      <c r="BN26" s="27" t="s">
        <v>87</v>
      </c>
    </row>
    <row r="27" spans="3:70" ht="25" thickBot="1" x14ac:dyDescent="0.25">
      <c r="C27" s="95" t="s">
        <v>8</v>
      </c>
      <c r="D27" s="1"/>
      <c r="E27" s="1"/>
      <c r="F27" s="43"/>
      <c r="G27" s="1"/>
      <c r="H27" s="46"/>
      <c r="I27" s="1"/>
      <c r="J27" s="1"/>
      <c r="K27" s="1"/>
      <c r="L27" s="1"/>
      <c r="M27" s="1"/>
      <c r="N27" s="1"/>
      <c r="O27" s="1"/>
      <c r="P27" s="1"/>
      <c r="AA27" s="1"/>
      <c r="AP27" s="1"/>
      <c r="BE27" s="1"/>
    </row>
    <row r="28" spans="3:70" ht="20" thickBot="1" x14ac:dyDescent="0.3">
      <c r="C28" s="188" t="s">
        <v>108</v>
      </c>
      <c r="D28" s="299" t="s">
        <v>128</v>
      </c>
      <c r="E28" s="299" t="s">
        <v>54</v>
      </c>
      <c r="F28" s="308" t="s">
        <v>27</v>
      </c>
      <c r="G28" s="308"/>
      <c r="H28" s="309"/>
      <c r="I28" s="299" t="s">
        <v>5</v>
      </c>
      <c r="J28" s="299" t="s">
        <v>129</v>
      </c>
      <c r="K28" s="299" t="s">
        <v>7</v>
      </c>
      <c r="L28" s="298" t="s">
        <v>63</v>
      </c>
      <c r="M28" s="310" t="s">
        <v>6</v>
      </c>
      <c r="N28" s="308"/>
      <c r="O28" s="308"/>
      <c r="P28" s="311"/>
      <c r="Q28" s="23"/>
      <c r="R28" s="94" t="s">
        <v>113</v>
      </c>
      <c r="S28" s="299" t="s">
        <v>128</v>
      </c>
      <c r="T28" s="299" t="s">
        <v>54</v>
      </c>
      <c r="U28" s="308" t="s">
        <v>27</v>
      </c>
      <c r="V28" s="308"/>
      <c r="W28" s="309"/>
      <c r="X28" s="299" t="s">
        <v>5</v>
      </c>
      <c r="Y28" s="299" t="s">
        <v>129</v>
      </c>
      <c r="Z28" s="299" t="s">
        <v>7</v>
      </c>
      <c r="AA28" s="298" t="s">
        <v>63</v>
      </c>
      <c r="AB28" s="310" t="s">
        <v>6</v>
      </c>
      <c r="AC28" s="308"/>
      <c r="AD28" s="308"/>
      <c r="AE28" s="311"/>
      <c r="AF28" s="23"/>
      <c r="AG28" s="94" t="s">
        <v>118</v>
      </c>
      <c r="AH28" s="299" t="s">
        <v>128</v>
      </c>
      <c r="AI28" s="299" t="s">
        <v>54</v>
      </c>
      <c r="AJ28" s="308" t="s">
        <v>27</v>
      </c>
      <c r="AK28" s="308"/>
      <c r="AL28" s="309"/>
      <c r="AM28" s="299" t="s">
        <v>5</v>
      </c>
      <c r="AN28" s="299" t="s">
        <v>129</v>
      </c>
      <c r="AO28" s="299" t="s">
        <v>7</v>
      </c>
      <c r="AP28" s="298" t="s">
        <v>63</v>
      </c>
      <c r="AQ28" s="310" t="s">
        <v>6</v>
      </c>
      <c r="AR28" s="308"/>
      <c r="AS28" s="308"/>
      <c r="AT28" s="311"/>
      <c r="AU28" s="26"/>
      <c r="AV28" s="188" t="s">
        <v>123</v>
      </c>
      <c r="AW28" s="299" t="s">
        <v>128</v>
      </c>
      <c r="AX28" s="299" t="s">
        <v>54</v>
      </c>
      <c r="AY28" s="308" t="s">
        <v>27</v>
      </c>
      <c r="AZ28" s="308"/>
      <c r="BA28" s="309"/>
      <c r="BB28" s="299" t="s">
        <v>5</v>
      </c>
      <c r="BC28" s="299" t="s">
        <v>129</v>
      </c>
      <c r="BD28" s="299" t="s">
        <v>7</v>
      </c>
      <c r="BE28" s="298" t="s">
        <v>63</v>
      </c>
      <c r="BF28" s="310" t="s">
        <v>6</v>
      </c>
      <c r="BG28" s="308"/>
      <c r="BH28" s="308"/>
      <c r="BI28" s="311"/>
      <c r="BL28" s="27" t="s">
        <v>68</v>
      </c>
      <c r="BN28" s="27" t="s">
        <v>15</v>
      </c>
      <c r="BP28" s="27" t="s">
        <v>69</v>
      </c>
      <c r="BR28" s="27" t="s">
        <v>70</v>
      </c>
    </row>
    <row r="29" spans="3:70" ht="16" x14ac:dyDescent="0.2">
      <c r="C29" s="118" t="str">
        <f>C18</f>
        <v>WK-Kniebeuge</v>
      </c>
      <c r="D29" s="119">
        <v>3</v>
      </c>
      <c r="E29" s="119">
        <v>8</v>
      </c>
      <c r="F29" s="30">
        <f>(0.71*D10)-5</f>
        <v>-5</v>
      </c>
      <c r="G29" s="171" t="s">
        <v>3</v>
      </c>
      <c r="H29" s="31">
        <f>(0.71*D10)+5</f>
        <v>5</v>
      </c>
      <c r="I29" s="32" t="s">
        <v>28</v>
      </c>
      <c r="J29" s="119" t="s">
        <v>58</v>
      </c>
      <c r="K29" s="119"/>
      <c r="L29" s="180"/>
      <c r="M29" s="318"/>
      <c r="N29" s="319"/>
      <c r="O29" s="319"/>
      <c r="P29" s="333"/>
      <c r="Q29" s="24"/>
      <c r="R29" s="118" t="s">
        <v>94</v>
      </c>
      <c r="S29" s="8">
        <v>3</v>
      </c>
      <c r="T29" s="8">
        <v>6</v>
      </c>
      <c r="U29" s="30">
        <f>(0.74*H10)-5</f>
        <v>-5</v>
      </c>
      <c r="V29" s="5" t="s">
        <v>3</v>
      </c>
      <c r="W29" s="31">
        <f>(0.74*H10)+5</f>
        <v>5</v>
      </c>
      <c r="X29" s="32" t="s">
        <v>28</v>
      </c>
      <c r="Y29" s="8" t="s">
        <v>37</v>
      </c>
      <c r="Z29" s="8"/>
      <c r="AA29" s="180"/>
      <c r="AB29" s="318"/>
      <c r="AC29" s="319"/>
      <c r="AD29" s="319"/>
      <c r="AE29" s="320"/>
      <c r="AF29" s="24"/>
      <c r="AG29" s="118" t="s">
        <v>95</v>
      </c>
      <c r="AH29" s="8">
        <v>3</v>
      </c>
      <c r="AI29" s="8">
        <v>9</v>
      </c>
      <c r="AJ29" s="30">
        <f>(0.68*D13)-5</f>
        <v>-5</v>
      </c>
      <c r="AK29" s="5" t="s">
        <v>3</v>
      </c>
      <c r="AL29" s="31">
        <f>(0.68*D13)+5</f>
        <v>5</v>
      </c>
      <c r="AM29" s="32" t="s">
        <v>28</v>
      </c>
      <c r="AN29" s="8" t="s">
        <v>59</v>
      </c>
      <c r="AO29" s="8"/>
      <c r="AP29" s="180"/>
      <c r="AQ29" s="318"/>
      <c r="AR29" s="319"/>
      <c r="AS29" s="319"/>
      <c r="AT29" s="320"/>
      <c r="AU29" s="25"/>
      <c r="AV29" s="294" t="s">
        <v>93</v>
      </c>
      <c r="AW29" s="119">
        <v>3</v>
      </c>
      <c r="AX29" s="119">
        <v>6</v>
      </c>
      <c r="AY29" s="30">
        <f>(0.74*F10)-5</f>
        <v>-5</v>
      </c>
      <c r="AZ29" s="171" t="s">
        <v>3</v>
      </c>
      <c r="BA29" s="31">
        <f>(0.74*F10)+5</f>
        <v>5</v>
      </c>
      <c r="BB29" s="32" t="s">
        <v>28</v>
      </c>
      <c r="BC29" s="119" t="s">
        <v>57</v>
      </c>
      <c r="BD29" s="119"/>
      <c r="BE29" s="180"/>
      <c r="BF29" s="318"/>
      <c r="BG29" s="319"/>
      <c r="BH29" s="319"/>
      <c r="BI29" s="333"/>
      <c r="BL29" s="27" t="s">
        <v>71</v>
      </c>
      <c r="BN29" s="27" t="s">
        <v>16</v>
      </c>
      <c r="BP29" s="27" t="s">
        <v>72</v>
      </c>
      <c r="BR29" s="27" t="s">
        <v>73</v>
      </c>
    </row>
    <row r="30" spans="3:70" ht="16" x14ac:dyDescent="0.2">
      <c r="C30" s="120" t="str">
        <f>C19</f>
        <v>Kniebeuge - Variation</v>
      </c>
      <c r="D30" s="121">
        <v>3</v>
      </c>
      <c r="E30" s="121">
        <v>5</v>
      </c>
      <c r="F30" s="44">
        <f>IF(C30="2ct. WK-Kniebeuge",(D11*0.76)-5,(D12*0.76)-5)</f>
        <v>-5</v>
      </c>
      <c r="G30" s="170" t="s">
        <v>3</v>
      </c>
      <c r="H30" s="35">
        <f>IF(C30="2ct. WK-Kniebeuge",(D11*0.76)+5,(D12*0.76)+5)</f>
        <v>5</v>
      </c>
      <c r="I30" s="29" t="s">
        <v>29</v>
      </c>
      <c r="J30" s="121" t="s">
        <v>58</v>
      </c>
      <c r="K30" s="121"/>
      <c r="L30" s="181"/>
      <c r="M30" s="304" t="s">
        <v>30</v>
      </c>
      <c r="N30" s="305"/>
      <c r="O30" s="305"/>
      <c r="P30" s="329"/>
      <c r="Q30" s="24"/>
      <c r="R30" s="120" t="str">
        <f>R19</f>
        <v>Bankdrücken - Variation</v>
      </c>
      <c r="S30" s="10">
        <v>2</v>
      </c>
      <c r="T30" s="10">
        <v>4</v>
      </c>
      <c r="U30" s="44">
        <f>IF(R30="3ct. WK-Bankdrücken",(F11*0.76)-5,(F12*0.76)-5)</f>
        <v>-5</v>
      </c>
      <c r="V30" s="4" t="s">
        <v>3</v>
      </c>
      <c r="W30" s="35">
        <f>IF(R30="3ct. WK-Bankdrücken",(F11*0.76)+5,(F12*0.76)+5)</f>
        <v>5</v>
      </c>
      <c r="X30" s="29" t="s">
        <v>29</v>
      </c>
      <c r="Y30" s="10" t="s">
        <v>57</v>
      </c>
      <c r="Z30" s="10"/>
      <c r="AA30" s="181"/>
      <c r="AB30" s="304"/>
      <c r="AC30" s="305"/>
      <c r="AD30" s="305"/>
      <c r="AE30" s="306"/>
      <c r="AF30" s="24"/>
      <c r="AG30" s="120" t="str">
        <f>AG19</f>
        <v>Kreuzheben - Variation</v>
      </c>
      <c r="AH30" s="10">
        <v>3</v>
      </c>
      <c r="AI30" s="275">
        <f>IF(AG30="Kreuzheben im Reißgriff",8,10)</f>
        <v>10</v>
      </c>
      <c r="AJ30" s="59"/>
      <c r="AK30" s="4" t="s">
        <v>3</v>
      </c>
      <c r="AL30" s="61"/>
      <c r="AM30" s="29" t="s">
        <v>28</v>
      </c>
      <c r="AN30" s="10" t="s">
        <v>56</v>
      </c>
      <c r="AO30" s="10"/>
      <c r="AP30" s="181"/>
      <c r="AQ30" s="304"/>
      <c r="AR30" s="305"/>
      <c r="AS30" s="305"/>
      <c r="AT30" s="306"/>
      <c r="AU30" s="25"/>
      <c r="AV30" s="295" t="s">
        <v>99</v>
      </c>
      <c r="AW30" s="121">
        <v>3</v>
      </c>
      <c r="AX30" s="121">
        <v>8</v>
      </c>
      <c r="AY30" s="44">
        <f>(0.69*F13)-5</f>
        <v>-5</v>
      </c>
      <c r="AZ30" s="170" t="s">
        <v>3</v>
      </c>
      <c r="BA30" s="35">
        <f>(0.69*F13)+5</f>
        <v>5</v>
      </c>
      <c r="BB30" s="29" t="s">
        <v>29</v>
      </c>
      <c r="BC30" s="121" t="s">
        <v>57</v>
      </c>
      <c r="BD30" s="121"/>
      <c r="BE30" s="181"/>
      <c r="BF30" s="304"/>
      <c r="BG30" s="305"/>
      <c r="BH30" s="305"/>
      <c r="BI30" s="329"/>
      <c r="BL30" s="27" t="s">
        <v>74</v>
      </c>
      <c r="BN30" s="27" t="s">
        <v>17</v>
      </c>
      <c r="BP30" s="27" t="s">
        <v>75</v>
      </c>
      <c r="BR30" s="27" t="s">
        <v>76</v>
      </c>
    </row>
    <row r="31" spans="3:70" ht="16" x14ac:dyDescent="0.2">
      <c r="C31" s="191" t="s">
        <v>93</v>
      </c>
      <c r="D31" s="119">
        <v>3</v>
      </c>
      <c r="E31" s="119">
        <v>10</v>
      </c>
      <c r="F31" s="33">
        <f>(0.64*F10)-5</f>
        <v>-5</v>
      </c>
      <c r="G31" s="171" t="s">
        <v>3</v>
      </c>
      <c r="H31" s="31">
        <f>(0.64*F10)+5</f>
        <v>5</v>
      </c>
      <c r="I31" s="32" t="s">
        <v>28</v>
      </c>
      <c r="J31" s="119" t="s">
        <v>57</v>
      </c>
      <c r="K31" s="119"/>
      <c r="L31" s="180"/>
      <c r="M31" s="312"/>
      <c r="N31" s="313"/>
      <c r="O31" s="313"/>
      <c r="P31" s="328"/>
      <c r="Q31" s="24"/>
      <c r="R31" s="118" t="str">
        <f>R20</f>
        <v>Unterkörperübung, unilateral</v>
      </c>
      <c r="S31" s="8">
        <v>2</v>
      </c>
      <c r="T31" s="8">
        <v>12</v>
      </c>
      <c r="U31" s="30"/>
      <c r="V31" s="5" t="s">
        <v>3</v>
      </c>
      <c r="W31" s="31"/>
      <c r="X31" s="32" t="s">
        <v>28</v>
      </c>
      <c r="Y31" s="8"/>
      <c r="Z31" s="8"/>
      <c r="AA31" s="180"/>
      <c r="AB31" s="312"/>
      <c r="AC31" s="313"/>
      <c r="AD31" s="313"/>
      <c r="AE31" s="314"/>
      <c r="AF31" s="24"/>
      <c r="AG31" s="118" t="str">
        <f>AG20</f>
        <v>Rudern</v>
      </c>
      <c r="AH31" s="8">
        <v>3</v>
      </c>
      <c r="AI31" s="28" t="s">
        <v>26</v>
      </c>
      <c r="AJ31" s="30"/>
      <c r="AK31" s="5" t="s">
        <v>3</v>
      </c>
      <c r="AL31" s="31"/>
      <c r="AM31" s="32" t="s">
        <v>28</v>
      </c>
      <c r="AN31" s="8"/>
      <c r="AO31" s="8"/>
      <c r="AP31" s="180"/>
      <c r="AQ31" s="312"/>
      <c r="AR31" s="313"/>
      <c r="AS31" s="313"/>
      <c r="AT31" s="314"/>
      <c r="AU31" s="25"/>
      <c r="AV31" s="288" t="str">
        <f>AV20</f>
        <v>Latzug</v>
      </c>
      <c r="AW31" s="119">
        <v>3</v>
      </c>
      <c r="AX31" s="266" t="s">
        <v>26</v>
      </c>
      <c r="AY31" s="33"/>
      <c r="AZ31" s="171" t="s">
        <v>3</v>
      </c>
      <c r="BA31" s="31"/>
      <c r="BB31" s="32" t="s">
        <v>28</v>
      </c>
      <c r="BC31" s="119"/>
      <c r="BD31" s="119"/>
      <c r="BE31" s="180"/>
      <c r="BF31" s="312"/>
      <c r="BG31" s="313"/>
      <c r="BH31" s="313"/>
      <c r="BI31" s="328"/>
      <c r="BL31" s="27" t="s">
        <v>77</v>
      </c>
      <c r="BN31" s="27" t="s">
        <v>78</v>
      </c>
      <c r="BP31" s="27" t="s">
        <v>79</v>
      </c>
      <c r="BR31" s="27" t="s">
        <v>80</v>
      </c>
    </row>
    <row r="32" spans="3:70" ht="16" x14ac:dyDescent="0.2">
      <c r="C32" s="120" t="str">
        <f>C21</f>
        <v>Rudern</v>
      </c>
      <c r="D32" s="121">
        <v>3</v>
      </c>
      <c r="E32" s="275" t="str">
        <f>IF(OR(C32="Pendlay Rudern"),"8","10-12")</f>
        <v>10-12</v>
      </c>
      <c r="F32" s="44"/>
      <c r="G32" s="170" t="s">
        <v>3</v>
      </c>
      <c r="H32" s="35"/>
      <c r="I32" s="29" t="s">
        <v>28</v>
      </c>
      <c r="J32" s="121"/>
      <c r="K32" s="121"/>
      <c r="L32" s="181"/>
      <c r="M32" s="304"/>
      <c r="N32" s="305"/>
      <c r="O32" s="305"/>
      <c r="P32" s="329"/>
      <c r="Q32" s="24"/>
      <c r="R32" s="120" t="str">
        <f>R21</f>
        <v>Oberkörper Drückbewegung</v>
      </c>
      <c r="S32" s="10">
        <v>2</v>
      </c>
      <c r="T32" s="10" t="str">
        <f>IF(OR(R32="Dips",R32="Military Press"),"6-8","10-12")</f>
        <v>10-12</v>
      </c>
      <c r="U32" s="44"/>
      <c r="V32" s="4" t="s">
        <v>3</v>
      </c>
      <c r="W32" s="35"/>
      <c r="X32" s="29" t="s">
        <v>28</v>
      </c>
      <c r="Y32" s="10"/>
      <c r="Z32" s="10"/>
      <c r="AA32" s="181"/>
      <c r="AB32" s="304"/>
      <c r="AC32" s="305"/>
      <c r="AD32" s="305"/>
      <c r="AE32" s="306"/>
      <c r="AF32" s="24"/>
      <c r="AG32" s="120" t="s">
        <v>24</v>
      </c>
      <c r="AH32" s="10">
        <v>3</v>
      </c>
      <c r="AI32" s="10">
        <v>10</v>
      </c>
      <c r="AJ32" s="59"/>
      <c r="AK32" s="4" t="s">
        <v>3</v>
      </c>
      <c r="AL32" s="61"/>
      <c r="AM32" s="29" t="s">
        <v>28</v>
      </c>
      <c r="AN32" s="10"/>
      <c r="AO32" s="10"/>
      <c r="AP32" s="181"/>
      <c r="AQ32" s="304"/>
      <c r="AR32" s="305"/>
      <c r="AS32" s="305"/>
      <c r="AT32" s="306"/>
      <c r="AU32" s="25"/>
      <c r="AV32" s="289" t="str">
        <f>AV21</f>
        <v>Hintere Schulter</v>
      </c>
      <c r="AW32" s="121">
        <v>3</v>
      </c>
      <c r="AX32" s="29" t="s">
        <v>26</v>
      </c>
      <c r="AY32" s="44"/>
      <c r="AZ32" s="170" t="s">
        <v>3</v>
      </c>
      <c r="BA32" s="35"/>
      <c r="BB32" s="29" t="s">
        <v>28</v>
      </c>
      <c r="BC32" s="121"/>
      <c r="BD32" s="121"/>
      <c r="BE32" s="181"/>
      <c r="BF32" s="304"/>
      <c r="BG32" s="305"/>
      <c r="BH32" s="305"/>
      <c r="BI32" s="329"/>
      <c r="BL32" s="27" t="s">
        <v>60</v>
      </c>
      <c r="BN32" s="27" t="s">
        <v>0</v>
      </c>
      <c r="BP32" s="27" t="s">
        <v>23</v>
      </c>
      <c r="BR32" s="27" t="s">
        <v>15</v>
      </c>
    </row>
    <row r="33" spans="3:70" ht="16" x14ac:dyDescent="0.2">
      <c r="C33" s="118" t="str">
        <f>C22</f>
        <v>Oberkörper Drückbewegung</v>
      </c>
      <c r="D33" s="119">
        <v>3</v>
      </c>
      <c r="E33" s="119">
        <f>IF(OR(C33="Dips",C22="LH Schulterdrücken"),6,10)</f>
        <v>10</v>
      </c>
      <c r="F33" s="33"/>
      <c r="G33" s="171" t="s">
        <v>3</v>
      </c>
      <c r="H33" s="31"/>
      <c r="I33" s="32" t="s">
        <v>28</v>
      </c>
      <c r="J33" s="119"/>
      <c r="K33" s="119"/>
      <c r="L33" s="180"/>
      <c r="M33" s="312"/>
      <c r="N33" s="313"/>
      <c r="O33" s="313"/>
      <c r="P33" s="328"/>
      <c r="Q33" s="24"/>
      <c r="R33" s="118" t="s">
        <v>19</v>
      </c>
      <c r="S33" s="32" t="s">
        <v>34</v>
      </c>
      <c r="T33" s="32" t="s">
        <v>35</v>
      </c>
      <c r="U33" s="30"/>
      <c r="V33" s="5" t="s">
        <v>3</v>
      </c>
      <c r="W33" s="31"/>
      <c r="X33" s="32" t="s">
        <v>28</v>
      </c>
      <c r="Y33" s="8"/>
      <c r="Z33" s="8"/>
      <c r="AA33" s="180"/>
      <c r="AB33" s="312"/>
      <c r="AC33" s="313"/>
      <c r="AD33" s="313"/>
      <c r="AE33" s="314"/>
      <c r="AF33" s="24"/>
      <c r="AG33" s="118" t="s">
        <v>96</v>
      </c>
      <c r="AH33" s="8">
        <v>2</v>
      </c>
      <c r="AI33" s="8"/>
      <c r="AJ33" s="40"/>
      <c r="AK33" s="5" t="s">
        <v>3</v>
      </c>
      <c r="AL33" s="41"/>
      <c r="AM33" s="8"/>
      <c r="AN33" s="8"/>
      <c r="AO33" s="8"/>
      <c r="AP33" s="180"/>
      <c r="AQ33" s="312"/>
      <c r="AR33" s="313"/>
      <c r="AS33" s="313"/>
      <c r="AT33" s="314"/>
      <c r="AU33" s="25"/>
      <c r="AV33" s="288" t="s">
        <v>19</v>
      </c>
      <c r="AW33" s="32" t="s">
        <v>34</v>
      </c>
      <c r="AX33" s="32" t="s">
        <v>35</v>
      </c>
      <c r="AY33" s="30"/>
      <c r="AZ33" s="171" t="s">
        <v>3</v>
      </c>
      <c r="BA33" s="31"/>
      <c r="BB33" s="32" t="s">
        <v>28</v>
      </c>
      <c r="BC33" s="119"/>
      <c r="BD33" s="119"/>
      <c r="BE33" s="180"/>
      <c r="BF33" s="312"/>
      <c r="BG33" s="313"/>
      <c r="BH33" s="313"/>
      <c r="BI33" s="328"/>
      <c r="BL33" s="27" t="s">
        <v>61</v>
      </c>
      <c r="BN33" s="27" t="s">
        <v>81</v>
      </c>
      <c r="BP33" s="27" t="s">
        <v>21</v>
      </c>
      <c r="BR33" s="27" t="s">
        <v>25</v>
      </c>
    </row>
    <row r="34" spans="3:70" ht="16" x14ac:dyDescent="0.2">
      <c r="C34" s="192" t="s">
        <v>96</v>
      </c>
      <c r="D34" s="121">
        <v>2</v>
      </c>
      <c r="E34" s="121"/>
      <c r="F34" s="44"/>
      <c r="G34" s="170" t="s">
        <v>3</v>
      </c>
      <c r="H34" s="35"/>
      <c r="I34" s="121"/>
      <c r="J34" s="121"/>
      <c r="K34" s="121"/>
      <c r="L34" s="181"/>
      <c r="M34" s="304"/>
      <c r="N34" s="305"/>
      <c r="O34" s="305"/>
      <c r="P34" s="329"/>
      <c r="Q34" s="24"/>
      <c r="R34" s="120" t="s">
        <v>20</v>
      </c>
      <c r="S34" s="29" t="s">
        <v>34</v>
      </c>
      <c r="T34" s="29" t="s">
        <v>35</v>
      </c>
      <c r="U34" s="44"/>
      <c r="V34" s="4" t="s">
        <v>3</v>
      </c>
      <c r="W34" s="35"/>
      <c r="X34" s="29" t="s">
        <v>28</v>
      </c>
      <c r="Y34" s="10"/>
      <c r="Z34" s="10"/>
      <c r="AA34" s="181"/>
      <c r="AB34" s="304"/>
      <c r="AC34" s="305"/>
      <c r="AD34" s="305"/>
      <c r="AE34" s="306"/>
      <c r="AF34" s="24"/>
      <c r="AG34" s="9"/>
      <c r="AH34" s="10"/>
      <c r="AI34" s="10"/>
      <c r="AJ34" s="59"/>
      <c r="AK34" s="4" t="s">
        <v>3</v>
      </c>
      <c r="AL34" s="61"/>
      <c r="AM34" s="10"/>
      <c r="AN34" s="10"/>
      <c r="AO34" s="10"/>
      <c r="AP34" s="181"/>
      <c r="AQ34" s="304"/>
      <c r="AR34" s="305"/>
      <c r="AS34" s="305"/>
      <c r="AT34" s="306"/>
      <c r="AU34" s="25"/>
      <c r="AV34" s="289" t="s">
        <v>20</v>
      </c>
      <c r="AW34" s="29" t="s">
        <v>34</v>
      </c>
      <c r="AX34" s="29" t="s">
        <v>35</v>
      </c>
      <c r="AY34" s="44"/>
      <c r="AZ34" s="170" t="s">
        <v>3</v>
      </c>
      <c r="BA34" s="35"/>
      <c r="BB34" s="29" t="s">
        <v>28</v>
      </c>
      <c r="BC34" s="121"/>
      <c r="BD34" s="121"/>
      <c r="BE34" s="181"/>
      <c r="BF34" s="304"/>
      <c r="BG34" s="305"/>
      <c r="BH34" s="305"/>
      <c r="BI34" s="329"/>
      <c r="BL34" s="27" t="s">
        <v>82</v>
      </c>
      <c r="BN34" s="27" t="s">
        <v>83</v>
      </c>
      <c r="BP34" s="27" t="s">
        <v>22</v>
      </c>
      <c r="BR34" s="27" t="s">
        <v>16</v>
      </c>
    </row>
    <row r="35" spans="3:70" ht="17" thickBot="1" x14ac:dyDescent="0.25">
      <c r="C35" s="203"/>
      <c r="D35" s="204"/>
      <c r="E35" s="204"/>
      <c r="F35" s="211"/>
      <c r="G35" s="206" t="s">
        <v>3</v>
      </c>
      <c r="H35" s="212"/>
      <c r="I35" s="204"/>
      <c r="J35" s="204"/>
      <c r="K35" s="204"/>
      <c r="L35" s="208"/>
      <c r="M35" s="330"/>
      <c r="N35" s="331"/>
      <c r="O35" s="331"/>
      <c r="P35" s="332"/>
      <c r="Q35" s="24"/>
      <c r="R35" s="11"/>
      <c r="S35" s="12"/>
      <c r="T35" s="12"/>
      <c r="U35" s="45"/>
      <c r="V35" s="6" t="s">
        <v>3</v>
      </c>
      <c r="W35" s="36"/>
      <c r="X35" s="12"/>
      <c r="Y35" s="12"/>
      <c r="Z35" s="12"/>
      <c r="AA35" s="182"/>
      <c r="AB35" s="321"/>
      <c r="AC35" s="322"/>
      <c r="AD35" s="322"/>
      <c r="AE35" s="323"/>
      <c r="AF35" s="24"/>
      <c r="AG35" s="11"/>
      <c r="AH35" s="12"/>
      <c r="AI35" s="12"/>
      <c r="AJ35" s="60"/>
      <c r="AK35" s="6" t="s">
        <v>3</v>
      </c>
      <c r="AL35" s="62"/>
      <c r="AM35" s="12"/>
      <c r="AN35" s="12"/>
      <c r="AO35" s="12"/>
      <c r="AP35" s="182"/>
      <c r="AQ35" s="321"/>
      <c r="AR35" s="322"/>
      <c r="AS35" s="322"/>
      <c r="AT35" s="323"/>
      <c r="AU35" s="25"/>
      <c r="AV35" s="203"/>
      <c r="AW35" s="204"/>
      <c r="AX35" s="204"/>
      <c r="AY35" s="205"/>
      <c r="AZ35" s="206" t="s">
        <v>3</v>
      </c>
      <c r="BA35" s="207"/>
      <c r="BB35" s="204"/>
      <c r="BC35" s="204"/>
      <c r="BD35" s="204"/>
      <c r="BE35" s="208"/>
      <c r="BF35" s="330"/>
      <c r="BG35" s="331"/>
      <c r="BH35" s="331"/>
      <c r="BI35" s="332"/>
      <c r="BL35" s="27" t="s">
        <v>84</v>
      </c>
      <c r="BN35" s="27" t="s">
        <v>85</v>
      </c>
      <c r="BR35" s="27" t="s">
        <v>17</v>
      </c>
    </row>
    <row r="36" spans="3:70" ht="16" x14ac:dyDescent="0.2">
      <c r="C36" s="24"/>
      <c r="D36" s="24"/>
      <c r="E36" s="24"/>
      <c r="F36" s="87"/>
      <c r="G36" s="66"/>
      <c r="H36" s="88"/>
      <c r="I36" s="24"/>
      <c r="J36" s="24"/>
      <c r="K36" s="24"/>
      <c r="L36" s="24"/>
      <c r="M36" s="83"/>
      <c r="N36" s="83"/>
      <c r="O36" s="83"/>
      <c r="P36" s="83"/>
      <c r="R36" s="24"/>
      <c r="S36" s="24"/>
      <c r="T36" s="24"/>
      <c r="U36" s="87"/>
      <c r="V36" s="66" t="s">
        <v>3</v>
      </c>
      <c r="W36" s="88"/>
      <c r="X36" s="24"/>
      <c r="Y36" s="24"/>
      <c r="Z36" s="24"/>
      <c r="AA36" s="24"/>
      <c r="AB36" s="83"/>
      <c r="AC36" s="83"/>
      <c r="AD36" s="83"/>
      <c r="AE36" s="83"/>
      <c r="AP36" s="24"/>
      <c r="BE36" s="24"/>
      <c r="BL36" s="27" t="s">
        <v>1</v>
      </c>
      <c r="BN36" s="27" t="s">
        <v>86</v>
      </c>
    </row>
    <row r="37" spans="3:70" ht="16" thickBot="1" x14ac:dyDescent="0.25">
      <c r="BL37" s="27" t="s">
        <v>13</v>
      </c>
      <c r="BN37" s="27" t="s">
        <v>87</v>
      </c>
    </row>
    <row r="38" spans="3:70" ht="25" thickBot="1" x14ac:dyDescent="0.25">
      <c r="C38" s="95" t="s">
        <v>12</v>
      </c>
      <c r="D38" s="1"/>
      <c r="E38" s="1"/>
      <c r="F38" s="43"/>
      <c r="G38" s="1"/>
      <c r="H38" s="46"/>
      <c r="I38" s="1"/>
      <c r="J38" s="1"/>
      <c r="K38" s="1"/>
      <c r="L38" s="1"/>
      <c r="M38" s="1"/>
      <c r="N38" s="1"/>
      <c r="O38" s="1"/>
      <c r="P38" s="1"/>
      <c r="AA38" s="1"/>
      <c r="AP38" s="1"/>
      <c r="BE38" s="1"/>
      <c r="BL38" s="27" t="s">
        <v>14</v>
      </c>
      <c r="BN38" s="27" t="s">
        <v>88</v>
      </c>
    </row>
    <row r="39" spans="3:70" ht="20" thickBot="1" x14ac:dyDescent="0.3">
      <c r="C39" s="188" t="s">
        <v>109</v>
      </c>
      <c r="D39" s="299" t="s">
        <v>128</v>
      </c>
      <c r="E39" s="299" t="s">
        <v>54</v>
      </c>
      <c r="F39" s="308" t="s">
        <v>27</v>
      </c>
      <c r="G39" s="308"/>
      <c r="H39" s="309"/>
      <c r="I39" s="299" t="s">
        <v>5</v>
      </c>
      <c r="J39" s="299" t="s">
        <v>129</v>
      </c>
      <c r="K39" s="299" t="s">
        <v>7</v>
      </c>
      <c r="L39" s="298" t="s">
        <v>63</v>
      </c>
      <c r="M39" s="310" t="s">
        <v>6</v>
      </c>
      <c r="N39" s="308"/>
      <c r="O39" s="308"/>
      <c r="P39" s="311"/>
      <c r="R39" s="142" t="s">
        <v>114</v>
      </c>
      <c r="S39" s="299" t="s">
        <v>128</v>
      </c>
      <c r="T39" s="299" t="s">
        <v>54</v>
      </c>
      <c r="U39" s="308" t="s">
        <v>27</v>
      </c>
      <c r="V39" s="308"/>
      <c r="W39" s="309"/>
      <c r="X39" s="299" t="s">
        <v>5</v>
      </c>
      <c r="Y39" s="299" t="s">
        <v>129</v>
      </c>
      <c r="Z39" s="299" t="s">
        <v>7</v>
      </c>
      <c r="AA39" s="298" t="s">
        <v>63</v>
      </c>
      <c r="AB39" s="310" t="s">
        <v>6</v>
      </c>
      <c r="AC39" s="308"/>
      <c r="AD39" s="308"/>
      <c r="AE39" s="311"/>
      <c r="AG39" s="142" t="s">
        <v>119</v>
      </c>
      <c r="AH39" s="299" t="s">
        <v>128</v>
      </c>
      <c r="AI39" s="299" t="s">
        <v>54</v>
      </c>
      <c r="AJ39" s="308" t="s">
        <v>27</v>
      </c>
      <c r="AK39" s="308"/>
      <c r="AL39" s="309"/>
      <c r="AM39" s="299" t="s">
        <v>5</v>
      </c>
      <c r="AN39" s="299" t="s">
        <v>129</v>
      </c>
      <c r="AO39" s="299" t="s">
        <v>7</v>
      </c>
      <c r="AP39" s="298" t="s">
        <v>63</v>
      </c>
      <c r="AQ39" s="310" t="s">
        <v>6</v>
      </c>
      <c r="AR39" s="308"/>
      <c r="AS39" s="308"/>
      <c r="AT39" s="311"/>
      <c r="AU39" s="26"/>
      <c r="AV39" s="188" t="s">
        <v>124</v>
      </c>
      <c r="AW39" s="299" t="s">
        <v>128</v>
      </c>
      <c r="AX39" s="299" t="s">
        <v>54</v>
      </c>
      <c r="AY39" s="308" t="s">
        <v>27</v>
      </c>
      <c r="AZ39" s="308"/>
      <c r="BA39" s="309"/>
      <c r="BB39" s="299" t="s">
        <v>5</v>
      </c>
      <c r="BC39" s="299" t="s">
        <v>129</v>
      </c>
      <c r="BD39" s="299" t="s">
        <v>7</v>
      </c>
      <c r="BE39" s="298" t="s">
        <v>63</v>
      </c>
      <c r="BF39" s="310" t="s">
        <v>6</v>
      </c>
      <c r="BG39" s="308"/>
      <c r="BH39" s="308"/>
      <c r="BI39" s="311"/>
      <c r="BN39" s="27" t="s">
        <v>89</v>
      </c>
    </row>
    <row r="40" spans="3:70" ht="16" x14ac:dyDescent="0.2">
      <c r="C40" s="7" t="str">
        <f>C29</f>
        <v>WK-Kniebeuge</v>
      </c>
      <c r="D40" s="8">
        <v>4</v>
      </c>
      <c r="E40" s="8">
        <v>8</v>
      </c>
      <c r="F40" s="30">
        <f>(0.72*D10)-5</f>
        <v>-5</v>
      </c>
      <c r="G40" s="5" t="s">
        <v>3</v>
      </c>
      <c r="H40" s="31">
        <f>(0.72*D10)+5</f>
        <v>5</v>
      </c>
      <c r="I40" s="8">
        <v>8</v>
      </c>
      <c r="J40" s="119" t="s">
        <v>58</v>
      </c>
      <c r="K40" s="8"/>
      <c r="L40" s="180"/>
      <c r="M40" s="318"/>
      <c r="N40" s="319"/>
      <c r="O40" s="319"/>
      <c r="P40" s="320"/>
      <c r="R40" s="118" t="s">
        <v>94</v>
      </c>
      <c r="S40" s="8">
        <v>4</v>
      </c>
      <c r="T40" s="8">
        <v>6</v>
      </c>
      <c r="U40" s="30">
        <f>(0.76*H10)-5</f>
        <v>-5</v>
      </c>
      <c r="V40" s="5" t="s">
        <v>3</v>
      </c>
      <c r="W40" s="31">
        <f>(0.76*H10)+5</f>
        <v>5</v>
      </c>
      <c r="X40" s="8">
        <v>8</v>
      </c>
      <c r="Y40" s="8" t="s">
        <v>37</v>
      </c>
      <c r="Z40" s="8"/>
      <c r="AA40" s="180"/>
      <c r="AB40" s="318"/>
      <c r="AC40" s="319"/>
      <c r="AD40" s="319"/>
      <c r="AE40" s="320"/>
      <c r="AG40" s="118" t="s">
        <v>95</v>
      </c>
      <c r="AH40" s="8">
        <v>4</v>
      </c>
      <c r="AI40" s="8">
        <v>9</v>
      </c>
      <c r="AJ40" s="30">
        <f>(0.7*D13)-5</f>
        <v>-5</v>
      </c>
      <c r="AK40" s="5" t="s">
        <v>3</v>
      </c>
      <c r="AL40" s="31">
        <f>(0.7*D13)+5</f>
        <v>5</v>
      </c>
      <c r="AM40" s="8">
        <v>8</v>
      </c>
      <c r="AN40" s="119" t="s">
        <v>59</v>
      </c>
      <c r="AO40" s="8"/>
      <c r="AP40" s="180"/>
      <c r="AQ40" s="318"/>
      <c r="AR40" s="319"/>
      <c r="AS40" s="319"/>
      <c r="AT40" s="320"/>
      <c r="AU40" s="25"/>
      <c r="AV40" s="191" t="s">
        <v>93</v>
      </c>
      <c r="AW40" s="8">
        <v>4</v>
      </c>
      <c r="AX40" s="8">
        <v>6</v>
      </c>
      <c r="AY40" s="30">
        <f>(0.76*F10)-5</f>
        <v>-5</v>
      </c>
      <c r="AZ40" s="5" t="s">
        <v>3</v>
      </c>
      <c r="BA40" s="31">
        <f>(0.76*F10)+5</f>
        <v>5</v>
      </c>
      <c r="BB40" s="8">
        <v>8</v>
      </c>
      <c r="BC40" s="119" t="s">
        <v>57</v>
      </c>
      <c r="BD40" s="8"/>
      <c r="BE40" s="180"/>
      <c r="BF40" s="318"/>
      <c r="BG40" s="319"/>
      <c r="BH40" s="319"/>
      <c r="BI40" s="320"/>
      <c r="BL40" s="27" t="s">
        <v>77</v>
      </c>
      <c r="BN40" s="27" t="s">
        <v>90</v>
      </c>
    </row>
    <row r="41" spans="3:70" ht="16" x14ac:dyDescent="0.2">
      <c r="C41" s="9" t="str">
        <f>C30</f>
        <v>Kniebeuge - Variation</v>
      </c>
      <c r="D41" s="10">
        <v>2</v>
      </c>
      <c r="E41" s="10">
        <v>5</v>
      </c>
      <c r="F41" s="44">
        <f>IF(C30="2ct. WK-Kniebeuge",(D11*0.77)-5,(D12*0.77)-5)</f>
        <v>-5</v>
      </c>
      <c r="G41" s="4" t="s">
        <v>3</v>
      </c>
      <c r="H41" s="35">
        <f>IF(C30="2ct. WK-Kniebeuge",(D11*0.77)+5,(D12*0.77)+5)</f>
        <v>5</v>
      </c>
      <c r="I41" s="10">
        <v>7</v>
      </c>
      <c r="J41" s="121" t="s">
        <v>58</v>
      </c>
      <c r="K41" s="10"/>
      <c r="L41" s="181"/>
      <c r="M41" s="304"/>
      <c r="N41" s="305"/>
      <c r="O41" s="305"/>
      <c r="P41" s="306"/>
      <c r="R41" s="9" t="str">
        <f>R30</f>
        <v>Bankdrücken - Variation</v>
      </c>
      <c r="S41" s="10">
        <v>3</v>
      </c>
      <c r="T41" s="10">
        <v>4</v>
      </c>
      <c r="U41" s="44">
        <f>IF(R30="3ct. WK-Bankdrücken",(F11*0.78)-5,(F12*0.78)-5)</f>
        <v>-5</v>
      </c>
      <c r="V41" s="4" t="s">
        <v>3</v>
      </c>
      <c r="W41" s="35">
        <f>IF(R30="3ct. WK-Bankdrücken",(F11*0.78)+5,(F12*0.78)+5)</f>
        <v>5</v>
      </c>
      <c r="X41" s="10">
        <v>7</v>
      </c>
      <c r="Y41" s="121" t="s">
        <v>57</v>
      </c>
      <c r="Z41" s="10"/>
      <c r="AA41" s="181"/>
      <c r="AB41" s="304"/>
      <c r="AC41" s="305"/>
      <c r="AD41" s="305"/>
      <c r="AE41" s="306"/>
      <c r="AG41" s="9" t="str">
        <f>AG30</f>
        <v>Kreuzheben - Variation</v>
      </c>
      <c r="AH41" s="10">
        <v>3</v>
      </c>
      <c r="AI41" s="275">
        <f>IF(AG41="Kreuzheben im Reißgriff",8,10)</f>
        <v>10</v>
      </c>
      <c r="AJ41" s="59"/>
      <c r="AK41" s="4" t="s">
        <v>3</v>
      </c>
      <c r="AL41" s="61"/>
      <c r="AM41" s="10">
        <v>8</v>
      </c>
      <c r="AN41" s="10" t="s">
        <v>56</v>
      </c>
      <c r="AO41" s="10"/>
      <c r="AP41" s="181"/>
      <c r="AQ41" s="304"/>
      <c r="AR41" s="305"/>
      <c r="AS41" s="305"/>
      <c r="AT41" s="306"/>
      <c r="AU41" s="25"/>
      <c r="AV41" s="192" t="s">
        <v>99</v>
      </c>
      <c r="AW41" s="10">
        <v>2</v>
      </c>
      <c r="AX41" s="10">
        <v>8</v>
      </c>
      <c r="AY41" s="44">
        <f>(0.71*F13)-5</f>
        <v>-5</v>
      </c>
      <c r="AZ41" s="4" t="s">
        <v>3</v>
      </c>
      <c r="BA41" s="35">
        <f>(0.71*F13)+5</f>
        <v>5</v>
      </c>
      <c r="BB41" s="10">
        <v>7</v>
      </c>
      <c r="BC41" s="121" t="s">
        <v>57</v>
      </c>
      <c r="BD41" s="10"/>
      <c r="BE41" s="181"/>
      <c r="BF41" s="304"/>
      <c r="BG41" s="305"/>
      <c r="BH41" s="305"/>
      <c r="BI41" s="306"/>
      <c r="BL41" s="27" t="s">
        <v>91</v>
      </c>
      <c r="BN41" s="27" t="s">
        <v>18</v>
      </c>
    </row>
    <row r="42" spans="3:70" ht="16" x14ac:dyDescent="0.2">
      <c r="C42" s="191" t="s">
        <v>93</v>
      </c>
      <c r="D42" s="8">
        <v>3</v>
      </c>
      <c r="E42" s="8">
        <v>10</v>
      </c>
      <c r="F42" s="33">
        <f>(0.66*F10)-5</f>
        <v>-5</v>
      </c>
      <c r="G42" s="5" t="s">
        <v>3</v>
      </c>
      <c r="H42" s="31">
        <f>(0.66*F10)+5</f>
        <v>5</v>
      </c>
      <c r="I42" s="8">
        <v>8</v>
      </c>
      <c r="J42" s="119" t="s">
        <v>57</v>
      </c>
      <c r="K42" s="8"/>
      <c r="L42" s="180"/>
      <c r="M42" s="312"/>
      <c r="N42" s="313"/>
      <c r="O42" s="313"/>
      <c r="P42" s="314"/>
      <c r="R42" s="7" t="str">
        <f>R31</f>
        <v>Unterkörperübung, unilateral</v>
      </c>
      <c r="S42" s="8">
        <v>2</v>
      </c>
      <c r="T42" s="8">
        <v>12</v>
      </c>
      <c r="U42" s="30"/>
      <c r="V42" s="5" t="s">
        <v>3</v>
      </c>
      <c r="W42" s="31"/>
      <c r="X42" s="8">
        <v>8</v>
      </c>
      <c r="Y42" s="8"/>
      <c r="Z42" s="8"/>
      <c r="AA42" s="180"/>
      <c r="AB42" s="312"/>
      <c r="AC42" s="313"/>
      <c r="AD42" s="313"/>
      <c r="AE42" s="314"/>
      <c r="AG42" s="7" t="str">
        <f>AG31</f>
        <v>Rudern</v>
      </c>
      <c r="AH42" s="8">
        <v>3</v>
      </c>
      <c r="AI42" s="28" t="s">
        <v>26</v>
      </c>
      <c r="AJ42" s="30"/>
      <c r="AK42" s="5" t="s">
        <v>3</v>
      </c>
      <c r="AL42" s="31"/>
      <c r="AM42" s="32" t="s">
        <v>28</v>
      </c>
      <c r="AN42" s="8"/>
      <c r="AO42" s="8"/>
      <c r="AP42" s="180"/>
      <c r="AQ42" s="312"/>
      <c r="AR42" s="313"/>
      <c r="AS42" s="313"/>
      <c r="AT42" s="314"/>
      <c r="AU42" s="25"/>
      <c r="AV42" s="7" t="str">
        <f>AV31</f>
        <v>Latzug</v>
      </c>
      <c r="AW42" s="8">
        <v>3</v>
      </c>
      <c r="AX42" s="266" t="s">
        <v>26</v>
      </c>
      <c r="AY42" s="33"/>
      <c r="AZ42" s="5" t="s">
        <v>3</v>
      </c>
      <c r="BA42" s="31"/>
      <c r="BB42" s="32" t="s">
        <v>28</v>
      </c>
      <c r="BC42" s="8"/>
      <c r="BD42" s="8"/>
      <c r="BE42" s="180"/>
      <c r="BF42" s="312"/>
      <c r="BG42" s="313"/>
      <c r="BH42" s="313"/>
      <c r="BI42" s="314"/>
      <c r="BL42" s="27" t="s">
        <v>60</v>
      </c>
    </row>
    <row r="43" spans="3:70" ht="16" x14ac:dyDescent="0.2">
      <c r="C43" s="9" t="str">
        <f>C32</f>
        <v>Rudern</v>
      </c>
      <c r="D43" s="10">
        <v>3</v>
      </c>
      <c r="E43" s="275" t="str">
        <f>IF(OR(C43="Pendlay Rudern"),"8","10-12")</f>
        <v>10-12</v>
      </c>
      <c r="F43" s="44"/>
      <c r="G43" s="4" t="s">
        <v>3</v>
      </c>
      <c r="H43" s="35"/>
      <c r="I43" s="10">
        <v>8</v>
      </c>
      <c r="J43" s="10"/>
      <c r="K43" s="10"/>
      <c r="L43" s="181"/>
      <c r="M43" s="304"/>
      <c r="N43" s="305"/>
      <c r="O43" s="305"/>
      <c r="P43" s="306"/>
      <c r="R43" s="9" t="str">
        <f>R32</f>
        <v>Oberkörper Drückbewegung</v>
      </c>
      <c r="S43" s="10">
        <v>2</v>
      </c>
      <c r="T43" s="10" t="str">
        <f>IF(OR(R43="Dips",R43="Military Press"),"6-8","10-12")</f>
        <v>10-12</v>
      </c>
      <c r="U43" s="44"/>
      <c r="V43" s="4" t="s">
        <v>3</v>
      </c>
      <c r="W43" s="35"/>
      <c r="X43" s="29" t="s">
        <v>28</v>
      </c>
      <c r="Y43" s="10"/>
      <c r="Z43" s="10"/>
      <c r="AA43" s="181"/>
      <c r="AB43" s="304"/>
      <c r="AC43" s="305"/>
      <c r="AD43" s="305"/>
      <c r="AE43" s="306"/>
      <c r="AG43" s="9" t="s">
        <v>24</v>
      </c>
      <c r="AH43" s="10">
        <v>3</v>
      </c>
      <c r="AI43" s="10">
        <v>10</v>
      </c>
      <c r="AJ43" s="59"/>
      <c r="AK43" s="4" t="s">
        <v>3</v>
      </c>
      <c r="AL43" s="61"/>
      <c r="AM43" s="10">
        <v>8</v>
      </c>
      <c r="AN43" s="10"/>
      <c r="AO43" s="10"/>
      <c r="AP43" s="181"/>
      <c r="AQ43" s="304"/>
      <c r="AR43" s="305"/>
      <c r="AS43" s="305"/>
      <c r="AT43" s="306"/>
      <c r="AU43" s="25"/>
      <c r="AV43" s="9" t="str">
        <f>AV32</f>
        <v>Hintere Schulter</v>
      </c>
      <c r="AW43" s="10">
        <v>3</v>
      </c>
      <c r="AX43" s="29" t="s">
        <v>26</v>
      </c>
      <c r="AY43" s="44"/>
      <c r="AZ43" s="4" t="s">
        <v>3</v>
      </c>
      <c r="BA43" s="35"/>
      <c r="BB43" s="29" t="s">
        <v>28</v>
      </c>
      <c r="BC43" s="10"/>
      <c r="BD43" s="10"/>
      <c r="BE43" s="181"/>
      <c r="BF43" s="304"/>
      <c r="BG43" s="305"/>
      <c r="BH43" s="305"/>
      <c r="BI43" s="306"/>
      <c r="BL43" s="27" t="s">
        <v>61</v>
      </c>
    </row>
    <row r="44" spans="3:70" ht="16" x14ac:dyDescent="0.2">
      <c r="C44" s="7" t="str">
        <f>C33</f>
        <v>Oberkörper Drückbewegung</v>
      </c>
      <c r="D44" s="8">
        <v>3</v>
      </c>
      <c r="E44" s="8">
        <f>IF(OR(C33="Dips",C22="LH Schulterdrücken"),6,10)</f>
        <v>10</v>
      </c>
      <c r="F44" s="33"/>
      <c r="G44" s="5" t="s">
        <v>3</v>
      </c>
      <c r="H44" s="31"/>
      <c r="I44" s="8">
        <v>8</v>
      </c>
      <c r="J44" s="8"/>
      <c r="K44" s="8"/>
      <c r="L44" s="180"/>
      <c r="M44" s="312"/>
      <c r="N44" s="313"/>
      <c r="O44" s="313"/>
      <c r="P44" s="314"/>
      <c r="R44" s="7" t="s">
        <v>19</v>
      </c>
      <c r="S44" s="32" t="s">
        <v>34</v>
      </c>
      <c r="T44" s="32" t="s">
        <v>35</v>
      </c>
      <c r="U44" s="30"/>
      <c r="V44" s="5" t="s">
        <v>3</v>
      </c>
      <c r="W44" s="31"/>
      <c r="X44" s="32" t="s">
        <v>28</v>
      </c>
      <c r="Y44" s="8"/>
      <c r="Z44" s="8"/>
      <c r="AA44" s="180"/>
      <c r="AB44" s="312"/>
      <c r="AC44" s="313"/>
      <c r="AD44" s="313"/>
      <c r="AE44" s="314"/>
      <c r="AG44" s="118" t="s">
        <v>96</v>
      </c>
      <c r="AH44" s="8">
        <v>2</v>
      </c>
      <c r="AI44" s="8"/>
      <c r="AJ44" s="40"/>
      <c r="AK44" s="5" t="s">
        <v>3</v>
      </c>
      <c r="AL44" s="41"/>
      <c r="AM44" s="8"/>
      <c r="AN44" s="8"/>
      <c r="AO44" s="8"/>
      <c r="AP44" s="180"/>
      <c r="AQ44" s="312"/>
      <c r="AR44" s="313"/>
      <c r="AS44" s="313"/>
      <c r="AT44" s="314"/>
      <c r="AU44" s="25"/>
      <c r="AV44" s="7" t="s">
        <v>19</v>
      </c>
      <c r="AW44" s="32" t="s">
        <v>34</v>
      </c>
      <c r="AX44" s="32" t="s">
        <v>35</v>
      </c>
      <c r="AY44" s="30"/>
      <c r="AZ44" s="5" t="s">
        <v>3</v>
      </c>
      <c r="BA44" s="31"/>
      <c r="BB44" s="32" t="s">
        <v>28</v>
      </c>
      <c r="BC44" s="8"/>
      <c r="BD44" s="8"/>
      <c r="BE44" s="180"/>
      <c r="BF44" s="312"/>
      <c r="BG44" s="313"/>
      <c r="BH44" s="313"/>
      <c r="BI44" s="314"/>
    </row>
    <row r="45" spans="3:70" ht="16" x14ac:dyDescent="0.2">
      <c r="C45" s="192" t="s">
        <v>96</v>
      </c>
      <c r="D45" s="10">
        <v>2</v>
      </c>
      <c r="E45" s="10"/>
      <c r="F45" s="44"/>
      <c r="G45" s="4" t="s">
        <v>3</v>
      </c>
      <c r="H45" s="35"/>
      <c r="I45" s="10"/>
      <c r="J45" s="10"/>
      <c r="K45" s="10"/>
      <c r="L45" s="181"/>
      <c r="M45" s="304"/>
      <c r="N45" s="305"/>
      <c r="O45" s="305"/>
      <c r="P45" s="306"/>
      <c r="R45" s="9" t="s">
        <v>20</v>
      </c>
      <c r="S45" s="29" t="s">
        <v>34</v>
      </c>
      <c r="T45" s="29" t="s">
        <v>35</v>
      </c>
      <c r="U45" s="44"/>
      <c r="V45" s="4" t="s">
        <v>3</v>
      </c>
      <c r="W45" s="35"/>
      <c r="X45" s="29" t="s">
        <v>28</v>
      </c>
      <c r="Y45" s="10"/>
      <c r="Z45" s="10"/>
      <c r="AA45" s="181"/>
      <c r="AB45" s="304"/>
      <c r="AC45" s="305"/>
      <c r="AD45" s="305"/>
      <c r="AE45" s="306"/>
      <c r="AG45" s="9"/>
      <c r="AH45" s="10"/>
      <c r="AI45" s="10"/>
      <c r="AJ45" s="59"/>
      <c r="AK45" s="4" t="s">
        <v>3</v>
      </c>
      <c r="AL45" s="61"/>
      <c r="AM45" s="10"/>
      <c r="AN45" s="10"/>
      <c r="AO45" s="10"/>
      <c r="AP45" s="181"/>
      <c r="AQ45" s="304"/>
      <c r="AR45" s="305"/>
      <c r="AS45" s="305"/>
      <c r="AT45" s="306"/>
      <c r="AU45" s="25"/>
      <c r="AV45" s="9" t="s">
        <v>20</v>
      </c>
      <c r="AW45" s="29" t="s">
        <v>34</v>
      </c>
      <c r="AX45" s="29" t="s">
        <v>35</v>
      </c>
      <c r="AY45" s="44"/>
      <c r="AZ45" s="4" t="s">
        <v>3</v>
      </c>
      <c r="BA45" s="35"/>
      <c r="BB45" s="29" t="s">
        <v>28</v>
      </c>
      <c r="BC45" s="10"/>
      <c r="BD45" s="10"/>
      <c r="BE45" s="181"/>
      <c r="BF45" s="304"/>
      <c r="BG45" s="305"/>
      <c r="BH45" s="305"/>
      <c r="BI45" s="306"/>
    </row>
    <row r="46" spans="3:70" ht="17" thickBot="1" x14ac:dyDescent="0.25">
      <c r="C46" s="11"/>
      <c r="D46" s="12"/>
      <c r="E46" s="12"/>
      <c r="F46" s="45"/>
      <c r="G46" s="6" t="s">
        <v>3</v>
      </c>
      <c r="H46" s="36"/>
      <c r="I46" s="12"/>
      <c r="J46" s="12"/>
      <c r="K46" s="12"/>
      <c r="L46" s="182"/>
      <c r="M46" s="321"/>
      <c r="N46" s="322"/>
      <c r="O46" s="322"/>
      <c r="P46" s="323"/>
      <c r="R46" s="11"/>
      <c r="S46" s="12"/>
      <c r="T46" s="12"/>
      <c r="U46" s="45"/>
      <c r="V46" s="6" t="s">
        <v>3</v>
      </c>
      <c r="W46" s="36"/>
      <c r="X46" s="12"/>
      <c r="Y46" s="12"/>
      <c r="Z46" s="12"/>
      <c r="AA46" s="182"/>
      <c r="AB46" s="321"/>
      <c r="AC46" s="322"/>
      <c r="AD46" s="322"/>
      <c r="AE46" s="323"/>
      <c r="AG46" s="11"/>
      <c r="AH46" s="12"/>
      <c r="AI46" s="12"/>
      <c r="AJ46" s="60"/>
      <c r="AK46" s="6" t="s">
        <v>3</v>
      </c>
      <c r="AL46" s="62"/>
      <c r="AM46" s="12"/>
      <c r="AN46" s="12"/>
      <c r="AO46" s="12"/>
      <c r="AP46" s="182"/>
      <c r="AQ46" s="321"/>
      <c r="AR46" s="322"/>
      <c r="AS46" s="322"/>
      <c r="AT46" s="323"/>
      <c r="AU46" s="25"/>
      <c r="AV46" s="11"/>
      <c r="AW46" s="12"/>
      <c r="AX46" s="12"/>
      <c r="AY46" s="60"/>
      <c r="AZ46" s="6" t="s">
        <v>3</v>
      </c>
      <c r="BA46" s="62"/>
      <c r="BB46" s="12"/>
      <c r="BC46" s="12"/>
      <c r="BD46" s="12"/>
      <c r="BE46" s="182"/>
      <c r="BF46" s="321"/>
      <c r="BG46" s="322"/>
      <c r="BH46" s="322"/>
      <c r="BI46" s="323"/>
    </row>
    <row r="48" spans="3:70" ht="16" thickBot="1" x14ac:dyDescent="0.25"/>
    <row r="49" spans="3:61" ht="25" thickBot="1" x14ac:dyDescent="0.25">
      <c r="C49" s="95" t="s">
        <v>11</v>
      </c>
      <c r="D49" s="1"/>
      <c r="E49" s="1"/>
      <c r="F49" s="43"/>
      <c r="G49" s="1"/>
      <c r="H49" s="46"/>
      <c r="I49" s="1"/>
      <c r="J49" s="1"/>
      <c r="K49" s="1"/>
      <c r="L49" s="1"/>
      <c r="M49" s="1"/>
      <c r="N49" s="1"/>
      <c r="O49" s="1"/>
      <c r="P49" s="1"/>
      <c r="AA49" s="1"/>
      <c r="AP49" s="1"/>
      <c r="BE49" s="1"/>
    </row>
    <row r="50" spans="3:61" ht="20" thickBot="1" x14ac:dyDescent="0.3">
      <c r="C50" s="188" t="s">
        <v>110</v>
      </c>
      <c r="D50" s="299" t="s">
        <v>128</v>
      </c>
      <c r="E50" s="299" t="s">
        <v>54</v>
      </c>
      <c r="F50" s="308" t="s">
        <v>27</v>
      </c>
      <c r="G50" s="308"/>
      <c r="H50" s="309"/>
      <c r="I50" s="299" t="s">
        <v>5</v>
      </c>
      <c r="J50" s="299" t="s">
        <v>129</v>
      </c>
      <c r="K50" s="299" t="s">
        <v>7</v>
      </c>
      <c r="L50" s="298" t="s">
        <v>63</v>
      </c>
      <c r="M50" s="310" t="s">
        <v>6</v>
      </c>
      <c r="N50" s="308"/>
      <c r="O50" s="308"/>
      <c r="P50" s="311"/>
      <c r="R50" s="142" t="s">
        <v>115</v>
      </c>
      <c r="S50" s="299" t="s">
        <v>128</v>
      </c>
      <c r="T50" s="299" t="s">
        <v>54</v>
      </c>
      <c r="U50" s="308" t="s">
        <v>27</v>
      </c>
      <c r="V50" s="308"/>
      <c r="W50" s="309"/>
      <c r="X50" s="299" t="s">
        <v>5</v>
      </c>
      <c r="Y50" s="299" t="s">
        <v>129</v>
      </c>
      <c r="Z50" s="299" t="s">
        <v>7</v>
      </c>
      <c r="AA50" s="298" t="s">
        <v>63</v>
      </c>
      <c r="AB50" s="310" t="s">
        <v>6</v>
      </c>
      <c r="AC50" s="308"/>
      <c r="AD50" s="308"/>
      <c r="AE50" s="311"/>
      <c r="AG50" s="142" t="s">
        <v>120</v>
      </c>
      <c r="AH50" s="299" t="s">
        <v>128</v>
      </c>
      <c r="AI50" s="299" t="s">
        <v>54</v>
      </c>
      <c r="AJ50" s="308" t="s">
        <v>27</v>
      </c>
      <c r="AK50" s="308"/>
      <c r="AL50" s="309"/>
      <c r="AM50" s="299" t="s">
        <v>5</v>
      </c>
      <c r="AN50" s="299" t="s">
        <v>129</v>
      </c>
      <c r="AO50" s="299" t="s">
        <v>7</v>
      </c>
      <c r="AP50" s="298" t="s">
        <v>63</v>
      </c>
      <c r="AQ50" s="310" t="s">
        <v>6</v>
      </c>
      <c r="AR50" s="308"/>
      <c r="AS50" s="308"/>
      <c r="AT50" s="311"/>
      <c r="AU50" s="26"/>
      <c r="AV50" s="188" t="s">
        <v>125</v>
      </c>
      <c r="AW50" s="299" t="s">
        <v>128</v>
      </c>
      <c r="AX50" s="299" t="s">
        <v>54</v>
      </c>
      <c r="AY50" s="308" t="s">
        <v>27</v>
      </c>
      <c r="AZ50" s="308"/>
      <c r="BA50" s="309"/>
      <c r="BB50" s="299" t="s">
        <v>5</v>
      </c>
      <c r="BC50" s="299" t="s">
        <v>129</v>
      </c>
      <c r="BD50" s="299" t="s">
        <v>7</v>
      </c>
      <c r="BE50" s="298" t="s">
        <v>63</v>
      </c>
      <c r="BF50" s="310" t="s">
        <v>6</v>
      </c>
      <c r="BG50" s="308"/>
      <c r="BH50" s="308"/>
      <c r="BI50" s="311"/>
    </row>
    <row r="51" spans="3:61" ht="16" x14ac:dyDescent="0.2">
      <c r="C51" s="7" t="str">
        <f>C29</f>
        <v>WK-Kniebeuge</v>
      </c>
      <c r="D51" s="8">
        <v>3</v>
      </c>
      <c r="E51" s="8">
        <v>6</v>
      </c>
      <c r="F51" s="30">
        <f>(0.75*D10)-5</f>
        <v>-5</v>
      </c>
      <c r="G51" s="5" t="s">
        <v>3</v>
      </c>
      <c r="H51" s="31">
        <f>(0.75*D10)+5</f>
        <v>5</v>
      </c>
      <c r="I51" s="8">
        <v>8</v>
      </c>
      <c r="J51" s="119" t="s">
        <v>58</v>
      </c>
      <c r="K51" s="8"/>
      <c r="L51" s="180"/>
      <c r="M51" s="318"/>
      <c r="N51" s="319"/>
      <c r="O51" s="319"/>
      <c r="P51" s="320"/>
      <c r="R51" s="118" t="s">
        <v>94</v>
      </c>
      <c r="S51" s="8">
        <v>3</v>
      </c>
      <c r="T51" s="8">
        <v>5</v>
      </c>
      <c r="U51" s="30">
        <f>(0.78*H10)-5</f>
        <v>-5</v>
      </c>
      <c r="V51" s="5" t="s">
        <v>3</v>
      </c>
      <c r="W51" s="31">
        <f>(0.78*H10)+5</f>
        <v>5</v>
      </c>
      <c r="X51" s="8">
        <v>8</v>
      </c>
      <c r="Y51" s="8" t="s">
        <v>37</v>
      </c>
      <c r="Z51" s="8"/>
      <c r="AA51" s="180"/>
      <c r="AB51" s="318"/>
      <c r="AC51" s="319"/>
      <c r="AD51" s="319"/>
      <c r="AE51" s="320"/>
      <c r="AG51" s="118" t="s">
        <v>95</v>
      </c>
      <c r="AH51" s="8">
        <v>4</v>
      </c>
      <c r="AI51" s="8">
        <v>7</v>
      </c>
      <c r="AJ51" s="30">
        <f>(0.72*D13)-5</f>
        <v>-5</v>
      </c>
      <c r="AK51" s="5" t="s">
        <v>3</v>
      </c>
      <c r="AL51" s="31">
        <f>(0.72*D13)+5</f>
        <v>5</v>
      </c>
      <c r="AM51" s="8">
        <v>8</v>
      </c>
      <c r="AN51" s="119" t="s">
        <v>59</v>
      </c>
      <c r="AO51" s="8"/>
      <c r="AP51" s="180"/>
      <c r="AQ51" s="318"/>
      <c r="AR51" s="319"/>
      <c r="AS51" s="319"/>
      <c r="AT51" s="320"/>
      <c r="AU51" s="25"/>
      <c r="AV51" s="191" t="s">
        <v>93</v>
      </c>
      <c r="AW51" s="8">
        <v>3</v>
      </c>
      <c r="AX51" s="8">
        <v>5</v>
      </c>
      <c r="AY51" s="30">
        <f>(0.78*F10)-5</f>
        <v>-5</v>
      </c>
      <c r="AZ51" s="5" t="s">
        <v>3</v>
      </c>
      <c r="BA51" s="31">
        <f>(0.78*F10)+5</f>
        <v>5</v>
      </c>
      <c r="BB51" s="8">
        <v>8</v>
      </c>
      <c r="BC51" s="119" t="s">
        <v>57</v>
      </c>
      <c r="BD51" s="8"/>
      <c r="BE51" s="180"/>
      <c r="BF51" s="318"/>
      <c r="BG51" s="319"/>
      <c r="BH51" s="319"/>
      <c r="BI51" s="320"/>
    </row>
    <row r="52" spans="3:61" ht="16" x14ac:dyDescent="0.2">
      <c r="C52" s="9" t="str">
        <f>C30</f>
        <v>Kniebeuge - Variation</v>
      </c>
      <c r="D52" s="10">
        <v>3</v>
      </c>
      <c r="E52" s="10">
        <v>4</v>
      </c>
      <c r="F52" s="44">
        <f>IF(C30="2ct. WK-Kniebeuge",(D11*0.78)-5,(D12*0.78)-5)</f>
        <v>-5</v>
      </c>
      <c r="G52" s="4" t="s">
        <v>3</v>
      </c>
      <c r="H52" s="35">
        <f>IF(C30="2ct. WK-Kniebeuge",(D11*0.78)+5,(D12*0.78)+5)</f>
        <v>5</v>
      </c>
      <c r="I52" s="10">
        <v>7</v>
      </c>
      <c r="J52" s="121" t="s">
        <v>58</v>
      </c>
      <c r="K52" s="10"/>
      <c r="L52" s="181"/>
      <c r="M52" s="304"/>
      <c r="N52" s="305"/>
      <c r="O52" s="305"/>
      <c r="P52" s="306"/>
      <c r="R52" s="9" t="str">
        <f>R30</f>
        <v>Bankdrücken - Variation</v>
      </c>
      <c r="S52" s="10">
        <v>2</v>
      </c>
      <c r="T52" s="10">
        <v>3</v>
      </c>
      <c r="U52" s="44">
        <f>IF(R30="3ct. WK-Bankdrücken",(F11*0.8)-5,(F12*0.8)-5)</f>
        <v>-5</v>
      </c>
      <c r="V52" s="4" t="s">
        <v>3</v>
      </c>
      <c r="W52" s="35">
        <f>IF(R30="3ct. WK-Bankdrücken",(F11*0.8)+5,(F12*0.8)+5)</f>
        <v>5</v>
      </c>
      <c r="X52" s="10">
        <v>7</v>
      </c>
      <c r="Y52" s="121" t="s">
        <v>57</v>
      </c>
      <c r="Z52" s="10"/>
      <c r="AA52" s="181"/>
      <c r="AB52" s="304"/>
      <c r="AC52" s="305"/>
      <c r="AD52" s="305"/>
      <c r="AE52" s="306"/>
      <c r="AG52" s="9" t="str">
        <f>AG30</f>
        <v>Kreuzheben - Variation</v>
      </c>
      <c r="AH52" s="10">
        <v>3</v>
      </c>
      <c r="AI52" s="10">
        <f>IF(AG52="Kreuzheben im Reißgriff",6,8)</f>
        <v>8</v>
      </c>
      <c r="AJ52" s="59"/>
      <c r="AK52" s="4" t="s">
        <v>3</v>
      </c>
      <c r="AL52" s="61"/>
      <c r="AM52" s="10">
        <v>8</v>
      </c>
      <c r="AN52" s="10" t="s">
        <v>56</v>
      </c>
      <c r="AO52" s="10"/>
      <c r="AP52" s="181"/>
      <c r="AQ52" s="304"/>
      <c r="AR52" s="305"/>
      <c r="AS52" s="305"/>
      <c r="AT52" s="306"/>
      <c r="AU52" s="25"/>
      <c r="AV52" s="192" t="s">
        <v>99</v>
      </c>
      <c r="AW52" s="10">
        <v>3</v>
      </c>
      <c r="AX52" s="10">
        <v>8</v>
      </c>
      <c r="AY52" s="44">
        <f>(0.71*F13)-5</f>
        <v>-5</v>
      </c>
      <c r="AZ52" s="4" t="s">
        <v>3</v>
      </c>
      <c r="BA52" s="35">
        <f>(0.71*F13)+5</f>
        <v>5</v>
      </c>
      <c r="BB52" s="10">
        <v>7</v>
      </c>
      <c r="BC52" s="121" t="s">
        <v>57</v>
      </c>
      <c r="BD52" s="10"/>
      <c r="BE52" s="181"/>
      <c r="BF52" s="304"/>
      <c r="BG52" s="305"/>
      <c r="BH52" s="305"/>
      <c r="BI52" s="306"/>
    </row>
    <row r="53" spans="3:61" ht="16" x14ac:dyDescent="0.2">
      <c r="C53" s="191" t="s">
        <v>93</v>
      </c>
      <c r="D53" s="8">
        <v>3</v>
      </c>
      <c r="E53" s="8">
        <v>8</v>
      </c>
      <c r="F53" s="33">
        <f>(0.72*F10)-5</f>
        <v>-5</v>
      </c>
      <c r="G53" s="5" t="s">
        <v>3</v>
      </c>
      <c r="H53" s="31">
        <f>(0.72*F10)+5</f>
        <v>5</v>
      </c>
      <c r="I53" s="8">
        <v>8</v>
      </c>
      <c r="J53" s="119" t="s">
        <v>57</v>
      </c>
      <c r="K53" s="8"/>
      <c r="L53" s="180"/>
      <c r="M53" s="312"/>
      <c r="N53" s="313"/>
      <c r="O53" s="313"/>
      <c r="P53" s="314"/>
      <c r="R53" s="7" t="str">
        <f>R31</f>
        <v>Unterkörperübung, unilateral</v>
      </c>
      <c r="S53" s="8">
        <v>3</v>
      </c>
      <c r="T53" s="8">
        <v>10</v>
      </c>
      <c r="U53" s="30"/>
      <c r="V53" s="5" t="s">
        <v>3</v>
      </c>
      <c r="W53" s="31"/>
      <c r="X53" s="8">
        <v>8</v>
      </c>
      <c r="Y53" s="8"/>
      <c r="Z53" s="8"/>
      <c r="AA53" s="180"/>
      <c r="AB53" s="312"/>
      <c r="AC53" s="313"/>
      <c r="AD53" s="313"/>
      <c r="AE53" s="314"/>
      <c r="AG53" s="7" t="str">
        <f>AG31</f>
        <v>Rudern</v>
      </c>
      <c r="AH53" s="8">
        <v>3</v>
      </c>
      <c r="AI53" s="28" t="s">
        <v>26</v>
      </c>
      <c r="AJ53" s="30"/>
      <c r="AK53" s="5" t="s">
        <v>3</v>
      </c>
      <c r="AL53" s="31"/>
      <c r="AM53" s="32" t="s">
        <v>32</v>
      </c>
      <c r="AN53" s="8"/>
      <c r="AO53" s="8"/>
      <c r="AP53" s="180"/>
      <c r="AQ53" s="312"/>
      <c r="AR53" s="313"/>
      <c r="AS53" s="313"/>
      <c r="AT53" s="314"/>
      <c r="AU53" s="25"/>
      <c r="AV53" s="7" t="str">
        <f>AV31</f>
        <v>Latzug</v>
      </c>
      <c r="AW53" s="8">
        <v>3</v>
      </c>
      <c r="AX53" s="266" t="s">
        <v>26</v>
      </c>
      <c r="AY53" s="33"/>
      <c r="AZ53" s="5" t="s">
        <v>3</v>
      </c>
      <c r="BA53" s="31"/>
      <c r="BB53" s="32" t="s">
        <v>32</v>
      </c>
      <c r="BC53" s="8"/>
      <c r="BD53" s="8"/>
      <c r="BE53" s="180"/>
      <c r="BF53" s="312"/>
      <c r="BG53" s="313"/>
      <c r="BH53" s="313"/>
      <c r="BI53" s="314"/>
    </row>
    <row r="54" spans="3:61" ht="16" x14ac:dyDescent="0.2">
      <c r="C54" s="9" t="str">
        <f>C32</f>
        <v>Rudern</v>
      </c>
      <c r="D54" s="10">
        <v>3</v>
      </c>
      <c r="E54" s="275" t="str">
        <f>IF(OR(C54="Pendlay Rudern"),"6","8-10")</f>
        <v>8-10</v>
      </c>
      <c r="F54" s="44"/>
      <c r="G54" s="4" t="s">
        <v>3</v>
      </c>
      <c r="H54" s="35"/>
      <c r="I54" s="10">
        <v>8</v>
      </c>
      <c r="J54" s="10"/>
      <c r="K54" s="10"/>
      <c r="L54" s="181"/>
      <c r="M54" s="304"/>
      <c r="N54" s="305"/>
      <c r="O54" s="305"/>
      <c r="P54" s="306"/>
      <c r="R54" s="9" t="str">
        <f>R32</f>
        <v>Oberkörper Drückbewegung</v>
      </c>
      <c r="S54" s="10">
        <v>2</v>
      </c>
      <c r="T54" s="10" t="str">
        <f>IF(OR(R54="Dips",R54="Military Press"),"6-8","10-12")</f>
        <v>10-12</v>
      </c>
      <c r="U54" s="44"/>
      <c r="V54" s="4" t="s">
        <v>3</v>
      </c>
      <c r="W54" s="35"/>
      <c r="X54" s="29" t="s">
        <v>32</v>
      </c>
      <c r="Y54" s="10"/>
      <c r="Z54" s="10"/>
      <c r="AA54" s="181"/>
      <c r="AB54" s="304"/>
      <c r="AC54" s="305"/>
      <c r="AD54" s="305"/>
      <c r="AE54" s="306"/>
      <c r="AG54" s="9" t="s">
        <v>24</v>
      </c>
      <c r="AH54" s="10">
        <v>3</v>
      </c>
      <c r="AI54" s="10">
        <v>8</v>
      </c>
      <c r="AJ54" s="59"/>
      <c r="AK54" s="4" t="s">
        <v>3</v>
      </c>
      <c r="AL54" s="61"/>
      <c r="AM54" s="10">
        <v>8</v>
      </c>
      <c r="AN54" s="10"/>
      <c r="AO54" s="10"/>
      <c r="AP54" s="181"/>
      <c r="AQ54" s="304"/>
      <c r="AR54" s="305"/>
      <c r="AS54" s="305"/>
      <c r="AT54" s="306"/>
      <c r="AU54" s="25"/>
      <c r="AV54" s="9" t="str">
        <f>AV32</f>
        <v>Hintere Schulter</v>
      </c>
      <c r="AW54" s="10">
        <v>3</v>
      </c>
      <c r="AX54" s="29" t="s">
        <v>26</v>
      </c>
      <c r="AY54" s="44"/>
      <c r="AZ54" s="4" t="s">
        <v>3</v>
      </c>
      <c r="BA54" s="35"/>
      <c r="BB54" s="29" t="s">
        <v>32</v>
      </c>
      <c r="BC54" s="10"/>
      <c r="BD54" s="10"/>
      <c r="BE54" s="181"/>
      <c r="BF54" s="304"/>
      <c r="BG54" s="305"/>
      <c r="BH54" s="305"/>
      <c r="BI54" s="306"/>
    </row>
    <row r="55" spans="3:61" ht="16" x14ac:dyDescent="0.2">
      <c r="C55" s="7" t="str">
        <f>C33</f>
        <v>Oberkörper Drückbewegung</v>
      </c>
      <c r="D55" s="8">
        <v>3</v>
      </c>
      <c r="E55" s="8">
        <f>IF(OR(C33="Dips",C22="LH Schulterdrücken"),5,8)</f>
        <v>8</v>
      </c>
      <c r="F55" s="33"/>
      <c r="G55" s="5" t="s">
        <v>3</v>
      </c>
      <c r="H55" s="31"/>
      <c r="I55" s="8">
        <v>8</v>
      </c>
      <c r="J55" s="8"/>
      <c r="K55" s="8"/>
      <c r="L55" s="180"/>
      <c r="M55" s="312"/>
      <c r="N55" s="313"/>
      <c r="O55" s="313"/>
      <c r="P55" s="314"/>
      <c r="R55" s="7" t="s">
        <v>19</v>
      </c>
      <c r="S55" s="32" t="s">
        <v>36</v>
      </c>
      <c r="T55" s="32" t="s">
        <v>35</v>
      </c>
      <c r="U55" s="30"/>
      <c r="V55" s="5" t="s">
        <v>3</v>
      </c>
      <c r="W55" s="31"/>
      <c r="X55" s="32" t="s">
        <v>32</v>
      </c>
      <c r="Y55" s="8"/>
      <c r="Z55" s="8"/>
      <c r="AA55" s="180"/>
      <c r="AB55" s="312"/>
      <c r="AC55" s="313"/>
      <c r="AD55" s="313"/>
      <c r="AE55" s="314"/>
      <c r="AG55" s="118" t="s">
        <v>96</v>
      </c>
      <c r="AH55" s="8">
        <v>3</v>
      </c>
      <c r="AI55" s="8"/>
      <c r="AJ55" s="40"/>
      <c r="AK55" s="5" t="s">
        <v>3</v>
      </c>
      <c r="AL55" s="41"/>
      <c r="AM55" s="8"/>
      <c r="AN55" s="8"/>
      <c r="AO55" s="8"/>
      <c r="AP55" s="180"/>
      <c r="AQ55" s="312"/>
      <c r="AR55" s="313"/>
      <c r="AS55" s="313"/>
      <c r="AT55" s="314"/>
      <c r="AU55" s="25"/>
      <c r="AV55" s="7" t="s">
        <v>19</v>
      </c>
      <c r="AW55" s="32" t="s">
        <v>36</v>
      </c>
      <c r="AX55" s="32" t="s">
        <v>35</v>
      </c>
      <c r="AY55" s="30"/>
      <c r="AZ55" s="5" t="s">
        <v>3</v>
      </c>
      <c r="BA55" s="31"/>
      <c r="BB55" s="32" t="s">
        <v>28</v>
      </c>
      <c r="BC55" s="8"/>
      <c r="BD55" s="8"/>
      <c r="BE55" s="180"/>
      <c r="BF55" s="312"/>
      <c r="BG55" s="313"/>
      <c r="BH55" s="313"/>
      <c r="BI55" s="314"/>
    </row>
    <row r="56" spans="3:61" ht="16" x14ac:dyDescent="0.2">
      <c r="C56" s="192" t="s">
        <v>96</v>
      </c>
      <c r="D56" s="10">
        <v>2</v>
      </c>
      <c r="E56" s="10"/>
      <c r="F56" s="44"/>
      <c r="G56" s="4" t="s">
        <v>3</v>
      </c>
      <c r="H56" s="35"/>
      <c r="I56" s="10"/>
      <c r="J56" s="10"/>
      <c r="K56" s="10"/>
      <c r="L56" s="181"/>
      <c r="M56" s="304"/>
      <c r="N56" s="305"/>
      <c r="O56" s="305"/>
      <c r="P56" s="306"/>
      <c r="R56" s="9" t="s">
        <v>20</v>
      </c>
      <c r="S56" s="29" t="s">
        <v>36</v>
      </c>
      <c r="T56" s="29" t="s">
        <v>35</v>
      </c>
      <c r="U56" s="44"/>
      <c r="V56" s="4" t="s">
        <v>3</v>
      </c>
      <c r="W56" s="35"/>
      <c r="X56" s="29" t="s">
        <v>32</v>
      </c>
      <c r="Y56" s="10"/>
      <c r="Z56" s="10"/>
      <c r="AA56" s="181"/>
      <c r="AB56" s="304"/>
      <c r="AC56" s="305"/>
      <c r="AD56" s="305"/>
      <c r="AE56" s="306"/>
      <c r="AG56" s="9"/>
      <c r="AH56" s="10"/>
      <c r="AI56" s="10"/>
      <c r="AJ56" s="59"/>
      <c r="AK56" s="4" t="s">
        <v>3</v>
      </c>
      <c r="AL56" s="61"/>
      <c r="AM56" s="10"/>
      <c r="AN56" s="10"/>
      <c r="AO56" s="10"/>
      <c r="AP56" s="181"/>
      <c r="AQ56" s="304"/>
      <c r="AR56" s="305"/>
      <c r="AS56" s="305"/>
      <c r="AT56" s="306"/>
      <c r="AU56" s="25"/>
      <c r="AV56" s="9" t="s">
        <v>20</v>
      </c>
      <c r="AW56" s="29" t="s">
        <v>36</v>
      </c>
      <c r="AX56" s="29" t="s">
        <v>35</v>
      </c>
      <c r="AY56" s="44"/>
      <c r="AZ56" s="4" t="s">
        <v>3</v>
      </c>
      <c r="BA56" s="35"/>
      <c r="BB56" s="29" t="s">
        <v>28</v>
      </c>
      <c r="BC56" s="10"/>
      <c r="BD56" s="10"/>
      <c r="BE56" s="181"/>
      <c r="BF56" s="304"/>
      <c r="BG56" s="305"/>
      <c r="BH56" s="305"/>
      <c r="BI56" s="306"/>
    </row>
    <row r="57" spans="3:61" ht="17" thickBot="1" x14ac:dyDescent="0.25">
      <c r="C57" s="11"/>
      <c r="D57" s="12"/>
      <c r="E57" s="12"/>
      <c r="F57" s="45"/>
      <c r="G57" s="6" t="s">
        <v>3</v>
      </c>
      <c r="H57" s="36"/>
      <c r="I57" s="12"/>
      <c r="J57" s="12"/>
      <c r="K57" s="12"/>
      <c r="L57" s="182"/>
      <c r="M57" s="321"/>
      <c r="N57" s="322"/>
      <c r="O57" s="322"/>
      <c r="P57" s="323"/>
      <c r="R57" s="11"/>
      <c r="S57" s="12"/>
      <c r="T57" s="12"/>
      <c r="U57" s="45"/>
      <c r="V57" s="6" t="s">
        <v>3</v>
      </c>
      <c r="W57" s="36"/>
      <c r="X57" s="12"/>
      <c r="Y57" s="12"/>
      <c r="Z57" s="12"/>
      <c r="AA57" s="182"/>
      <c r="AB57" s="321"/>
      <c r="AC57" s="322"/>
      <c r="AD57" s="322"/>
      <c r="AE57" s="323"/>
      <c r="AG57" s="11"/>
      <c r="AH57" s="12"/>
      <c r="AI57" s="12"/>
      <c r="AJ57" s="60"/>
      <c r="AK57" s="6" t="s">
        <v>3</v>
      </c>
      <c r="AL57" s="62"/>
      <c r="AM57" s="12"/>
      <c r="AN57" s="12"/>
      <c r="AO57" s="12"/>
      <c r="AP57" s="182"/>
      <c r="AQ57" s="321"/>
      <c r="AR57" s="322"/>
      <c r="AS57" s="322"/>
      <c r="AT57" s="323"/>
      <c r="AU57" s="25"/>
      <c r="AV57" s="11"/>
      <c r="AW57" s="12"/>
      <c r="AX57" s="12"/>
      <c r="AY57" s="60"/>
      <c r="AZ57" s="6" t="s">
        <v>3</v>
      </c>
      <c r="BA57" s="62"/>
      <c r="BB57" s="12"/>
      <c r="BC57" s="12"/>
      <c r="BD57" s="12"/>
      <c r="BE57" s="182"/>
      <c r="BF57" s="321"/>
      <c r="BG57" s="322"/>
      <c r="BH57" s="322"/>
      <c r="BI57" s="323"/>
    </row>
    <row r="58" spans="3:61" ht="16" x14ac:dyDescent="0.2">
      <c r="C58" s="104"/>
      <c r="D58" s="104"/>
      <c r="E58" s="104"/>
      <c r="F58" s="105"/>
      <c r="G58" s="66"/>
      <c r="H58" s="88"/>
      <c r="I58" s="104"/>
      <c r="J58" s="104"/>
      <c r="K58" s="104"/>
      <c r="L58" s="104"/>
      <c r="M58" s="327"/>
      <c r="N58" s="327"/>
      <c r="O58" s="327"/>
      <c r="P58" s="327"/>
      <c r="R58" s="24"/>
      <c r="S58" s="24"/>
      <c r="T58" s="24"/>
      <c r="U58" s="87"/>
      <c r="V58" s="66" t="s">
        <v>3</v>
      </c>
      <c r="W58" s="88"/>
      <c r="X58" s="24"/>
      <c r="Y58" s="24"/>
      <c r="Z58" s="24"/>
      <c r="AA58" s="104"/>
      <c r="AB58" s="83"/>
      <c r="AC58" s="83"/>
      <c r="AD58" s="83"/>
      <c r="AE58" s="83"/>
      <c r="AP58" s="104"/>
      <c r="BE58" s="104"/>
    </row>
    <row r="59" spans="3:61" ht="16" thickBot="1" x14ac:dyDescent="0.25"/>
    <row r="60" spans="3:61" ht="25" thickBot="1" x14ac:dyDescent="0.25">
      <c r="C60" s="95" t="s">
        <v>10</v>
      </c>
      <c r="D60" s="1"/>
      <c r="E60" s="1"/>
      <c r="F60" s="43"/>
      <c r="G60" s="1"/>
      <c r="H60" s="46"/>
      <c r="I60" s="183" t="s">
        <v>4</v>
      </c>
      <c r="J60" s="63">
        <f>(((K62*(E62+(10-L62))*0.029))+K62)</f>
        <v>0</v>
      </c>
      <c r="K60" s="1"/>
      <c r="L60" s="1"/>
      <c r="M60" s="1"/>
      <c r="N60" s="1"/>
      <c r="O60" s="1"/>
      <c r="P60" s="1"/>
      <c r="X60" s="183" t="s">
        <v>4</v>
      </c>
      <c r="Y60" s="63">
        <f>(((Z62*(T62+(10-AA62))*0.029))+Z62)</f>
        <v>0</v>
      </c>
      <c r="AA60" s="1"/>
      <c r="AP60" s="1"/>
      <c r="BB60" s="183" t="s">
        <v>4</v>
      </c>
      <c r="BC60" s="63">
        <f>(((BD62*(AX62+(10-BE62))*0.029))+BD62)</f>
        <v>0</v>
      </c>
      <c r="BE60" s="1"/>
    </row>
    <row r="61" spans="3:61" ht="20" thickBot="1" x14ac:dyDescent="0.3">
      <c r="C61" s="188" t="s">
        <v>111</v>
      </c>
      <c r="D61" s="299" t="s">
        <v>128</v>
      </c>
      <c r="E61" s="299" t="s">
        <v>54</v>
      </c>
      <c r="F61" s="308" t="s">
        <v>27</v>
      </c>
      <c r="G61" s="308"/>
      <c r="H61" s="309"/>
      <c r="I61" s="299" t="s">
        <v>5</v>
      </c>
      <c r="J61" s="299" t="s">
        <v>129</v>
      </c>
      <c r="K61" s="299" t="s">
        <v>7</v>
      </c>
      <c r="L61" s="298" t="s">
        <v>63</v>
      </c>
      <c r="M61" s="310" t="s">
        <v>6</v>
      </c>
      <c r="N61" s="308"/>
      <c r="O61" s="308"/>
      <c r="P61" s="311"/>
      <c r="R61" s="142" t="s">
        <v>116</v>
      </c>
      <c r="S61" s="299" t="s">
        <v>128</v>
      </c>
      <c r="T61" s="299" t="s">
        <v>54</v>
      </c>
      <c r="U61" s="308" t="s">
        <v>27</v>
      </c>
      <c r="V61" s="308"/>
      <c r="W61" s="309"/>
      <c r="X61" s="299" t="s">
        <v>5</v>
      </c>
      <c r="Y61" s="299" t="s">
        <v>129</v>
      </c>
      <c r="Z61" s="299" t="s">
        <v>7</v>
      </c>
      <c r="AA61" s="298" t="s">
        <v>63</v>
      </c>
      <c r="AB61" s="310" t="s">
        <v>6</v>
      </c>
      <c r="AC61" s="308"/>
      <c r="AD61" s="308"/>
      <c r="AE61" s="311"/>
      <c r="AG61" s="142" t="s">
        <v>121</v>
      </c>
      <c r="AH61" s="299" t="s">
        <v>128</v>
      </c>
      <c r="AI61" s="299" t="s">
        <v>54</v>
      </c>
      <c r="AJ61" s="308" t="s">
        <v>27</v>
      </c>
      <c r="AK61" s="308"/>
      <c r="AL61" s="309"/>
      <c r="AM61" s="299" t="s">
        <v>5</v>
      </c>
      <c r="AN61" s="299" t="s">
        <v>129</v>
      </c>
      <c r="AO61" s="299" t="s">
        <v>7</v>
      </c>
      <c r="AP61" s="298" t="s">
        <v>63</v>
      </c>
      <c r="AQ61" s="310" t="s">
        <v>6</v>
      </c>
      <c r="AR61" s="308"/>
      <c r="AS61" s="308"/>
      <c r="AT61" s="311"/>
      <c r="AU61" s="26"/>
      <c r="AV61" s="188" t="s">
        <v>126</v>
      </c>
      <c r="AW61" s="299" t="s">
        <v>128</v>
      </c>
      <c r="AX61" s="299" t="s">
        <v>54</v>
      </c>
      <c r="AY61" s="308" t="s">
        <v>27</v>
      </c>
      <c r="AZ61" s="308"/>
      <c r="BA61" s="309"/>
      <c r="BB61" s="299" t="s">
        <v>5</v>
      </c>
      <c r="BC61" s="299" t="s">
        <v>129</v>
      </c>
      <c r="BD61" s="299" t="s">
        <v>7</v>
      </c>
      <c r="BE61" s="298" t="s">
        <v>63</v>
      </c>
      <c r="BF61" s="310" t="s">
        <v>6</v>
      </c>
      <c r="BG61" s="308"/>
      <c r="BH61" s="308"/>
      <c r="BI61" s="311"/>
    </row>
    <row r="62" spans="3:61" ht="16" x14ac:dyDescent="0.2">
      <c r="C62" s="7" t="str">
        <f>C29</f>
        <v>WK-Kniebeuge</v>
      </c>
      <c r="D62" s="8">
        <v>1</v>
      </c>
      <c r="E62" s="8">
        <v>6</v>
      </c>
      <c r="F62" s="30">
        <f>(0.815*D10)-5</f>
        <v>-5</v>
      </c>
      <c r="G62" s="5" t="s">
        <v>3</v>
      </c>
      <c r="H62" s="31">
        <f>(0.815*D10)+5</f>
        <v>5</v>
      </c>
      <c r="I62" s="8">
        <v>9</v>
      </c>
      <c r="J62" s="119" t="s">
        <v>58</v>
      </c>
      <c r="K62" s="8">
        <v>0</v>
      </c>
      <c r="L62" s="180"/>
      <c r="M62" s="318"/>
      <c r="N62" s="319"/>
      <c r="O62" s="319"/>
      <c r="P62" s="320"/>
      <c r="R62" s="118" t="s">
        <v>94</v>
      </c>
      <c r="S62" s="8">
        <v>1</v>
      </c>
      <c r="T62" s="8">
        <v>5</v>
      </c>
      <c r="U62" s="30">
        <f>(0.835*H10)-5</f>
        <v>-5</v>
      </c>
      <c r="V62" s="5" t="s">
        <v>3</v>
      </c>
      <c r="W62" s="31">
        <f>(0.835*H10)+5</f>
        <v>5</v>
      </c>
      <c r="X62" s="8">
        <v>9</v>
      </c>
      <c r="Y62" s="8" t="s">
        <v>37</v>
      </c>
      <c r="Z62" s="8">
        <v>0</v>
      </c>
      <c r="AA62" s="180"/>
      <c r="AB62" s="318"/>
      <c r="AC62" s="319"/>
      <c r="AD62" s="319"/>
      <c r="AE62" s="320"/>
      <c r="AG62" s="118" t="s">
        <v>95</v>
      </c>
      <c r="AH62" s="8">
        <v>4</v>
      </c>
      <c r="AI62" s="8">
        <v>7</v>
      </c>
      <c r="AJ62" s="30">
        <f>(0.74*D13)-5</f>
        <v>-5</v>
      </c>
      <c r="AK62" s="5" t="s">
        <v>3</v>
      </c>
      <c r="AL62" s="31">
        <f>(0.74*D13)+5</f>
        <v>5</v>
      </c>
      <c r="AM62" s="8">
        <v>9</v>
      </c>
      <c r="AN62" s="119" t="s">
        <v>59</v>
      </c>
      <c r="AO62" s="8"/>
      <c r="AP62" s="180"/>
      <c r="AQ62" s="318"/>
      <c r="AR62" s="319"/>
      <c r="AS62" s="319"/>
      <c r="AT62" s="320"/>
      <c r="AU62" s="25"/>
      <c r="AV62" s="191" t="s">
        <v>93</v>
      </c>
      <c r="AW62" s="8">
        <v>1</v>
      </c>
      <c r="AX62" s="8">
        <v>5</v>
      </c>
      <c r="AY62" s="30">
        <f>(0.835*F10)-5</f>
        <v>-5</v>
      </c>
      <c r="AZ62" s="5" t="s">
        <v>3</v>
      </c>
      <c r="BA62" s="31">
        <f>(0.835*F10)+5</f>
        <v>5</v>
      </c>
      <c r="BB62" s="8">
        <v>9</v>
      </c>
      <c r="BC62" s="119" t="s">
        <v>57</v>
      </c>
      <c r="BD62" s="8">
        <v>0</v>
      </c>
      <c r="BE62" s="180"/>
      <c r="BF62" s="318"/>
      <c r="BG62" s="319"/>
      <c r="BH62" s="319"/>
      <c r="BI62" s="320"/>
    </row>
    <row r="63" spans="3:61" ht="16" x14ac:dyDescent="0.2">
      <c r="C63" s="39" t="str">
        <f>C29</f>
        <v>WK-Kniebeuge</v>
      </c>
      <c r="D63" s="8">
        <v>3</v>
      </c>
      <c r="E63" s="8">
        <v>6</v>
      </c>
      <c r="F63" s="315" t="s">
        <v>31</v>
      </c>
      <c r="G63" s="316"/>
      <c r="H63" s="317"/>
      <c r="I63" s="32" t="s">
        <v>32</v>
      </c>
      <c r="J63" s="119" t="s">
        <v>58</v>
      </c>
      <c r="K63" s="8"/>
      <c r="L63" s="180"/>
      <c r="M63" s="312"/>
      <c r="N63" s="313"/>
      <c r="O63" s="313"/>
      <c r="P63" s="314"/>
      <c r="R63" s="7" t="s">
        <v>94</v>
      </c>
      <c r="S63" s="8">
        <v>3</v>
      </c>
      <c r="T63" s="8">
        <v>5</v>
      </c>
      <c r="U63" s="315" t="s">
        <v>31</v>
      </c>
      <c r="V63" s="316"/>
      <c r="W63" s="317"/>
      <c r="X63" s="32" t="s">
        <v>32</v>
      </c>
      <c r="Y63" s="8" t="s">
        <v>37</v>
      </c>
      <c r="Z63" s="8"/>
      <c r="AA63" s="180"/>
      <c r="AB63" s="312"/>
      <c r="AC63" s="313"/>
      <c r="AD63" s="313"/>
      <c r="AE63" s="314"/>
      <c r="AG63" s="120" t="str">
        <f>AG30</f>
        <v>Kreuzheben - Variation</v>
      </c>
      <c r="AH63" s="121">
        <v>3</v>
      </c>
      <c r="AI63" s="275">
        <f>IF(AG63="Kreuzheben im Reißgriff",6,8)</f>
        <v>8</v>
      </c>
      <c r="AJ63" s="178"/>
      <c r="AK63" s="177" t="s">
        <v>3</v>
      </c>
      <c r="AL63" s="179"/>
      <c r="AM63" s="121">
        <v>9</v>
      </c>
      <c r="AN63" s="121" t="s">
        <v>56</v>
      </c>
      <c r="AO63" s="55"/>
      <c r="AP63" s="55"/>
      <c r="AQ63" s="324"/>
      <c r="AR63" s="325"/>
      <c r="AS63" s="325"/>
      <c r="AT63" s="326"/>
      <c r="AV63" s="7" t="s">
        <v>93</v>
      </c>
      <c r="AW63" s="8">
        <v>3</v>
      </c>
      <c r="AX63" s="8">
        <v>5</v>
      </c>
      <c r="AY63" s="315" t="s">
        <v>31</v>
      </c>
      <c r="AZ63" s="316"/>
      <c r="BA63" s="317"/>
      <c r="BB63" s="32" t="s">
        <v>32</v>
      </c>
      <c r="BC63" s="119" t="s">
        <v>57</v>
      </c>
      <c r="BD63" s="57"/>
      <c r="BE63" s="180"/>
      <c r="BF63" s="301"/>
      <c r="BG63" s="302"/>
      <c r="BH63" s="302"/>
      <c r="BI63" s="303"/>
    </row>
    <row r="64" spans="3:61" ht="16" x14ac:dyDescent="0.2">
      <c r="C64" s="9" t="str">
        <f>C30</f>
        <v>Kniebeuge - Variation</v>
      </c>
      <c r="D64" s="10">
        <v>2</v>
      </c>
      <c r="E64" s="10">
        <v>4</v>
      </c>
      <c r="F64" s="44">
        <f>IF(C30="2ct. WK-Kniebeuge",(D11*0.8)-5,(D12*0.8)-5)</f>
        <v>-5</v>
      </c>
      <c r="G64" s="4" t="s">
        <v>3</v>
      </c>
      <c r="H64" s="35">
        <f>IF(C30="2ct. WK-Kniebeuge",(D11*0.8)+5,(D12*0.8)+5)</f>
        <v>5</v>
      </c>
      <c r="I64" s="10">
        <v>8</v>
      </c>
      <c r="J64" s="121" t="s">
        <v>58</v>
      </c>
      <c r="K64" s="10"/>
      <c r="L64" s="181"/>
      <c r="M64" s="304"/>
      <c r="N64" s="305"/>
      <c r="O64" s="305"/>
      <c r="P64" s="306"/>
      <c r="R64" s="9" t="str">
        <f>R30</f>
        <v>Bankdrücken - Variation</v>
      </c>
      <c r="S64" s="10">
        <v>3</v>
      </c>
      <c r="T64" s="10">
        <v>3</v>
      </c>
      <c r="U64" s="44">
        <f>IF(R30="3ct. WK-Bankdrücken",(F11*0.83)-5,(F12*0.83)-5)</f>
        <v>-5</v>
      </c>
      <c r="V64" s="4" t="s">
        <v>3</v>
      </c>
      <c r="W64" s="35">
        <f>IF(R30="3ct. WK-Bankdrücken",(F11*0.83)+5,(F12*0.83)+5)</f>
        <v>5</v>
      </c>
      <c r="X64" s="10">
        <v>8</v>
      </c>
      <c r="Y64" s="121" t="s">
        <v>57</v>
      </c>
      <c r="Z64" s="10"/>
      <c r="AA64" s="181"/>
      <c r="AB64" s="304"/>
      <c r="AC64" s="305"/>
      <c r="AD64" s="305"/>
      <c r="AE64" s="306"/>
      <c r="AG64" s="9"/>
      <c r="AH64" s="10"/>
      <c r="AI64" s="10"/>
      <c r="AJ64" s="59"/>
      <c r="AK64" s="4" t="s">
        <v>3</v>
      </c>
      <c r="AL64" s="61"/>
      <c r="AM64" s="10"/>
      <c r="AN64" s="10"/>
      <c r="AO64" s="10"/>
      <c r="AP64" s="181"/>
      <c r="AQ64" s="304"/>
      <c r="AR64" s="305"/>
      <c r="AS64" s="305"/>
      <c r="AT64" s="306"/>
      <c r="AU64" s="25"/>
      <c r="AV64" s="9" t="s">
        <v>99</v>
      </c>
      <c r="AW64" s="10">
        <v>2</v>
      </c>
      <c r="AX64" s="10">
        <v>8</v>
      </c>
      <c r="AY64" s="44">
        <f>(0.73*F13)-5</f>
        <v>-5</v>
      </c>
      <c r="AZ64" s="4" t="s">
        <v>3</v>
      </c>
      <c r="BA64" s="35">
        <f>(0.73*F13)+5</f>
        <v>5</v>
      </c>
      <c r="BB64" s="10">
        <v>8</v>
      </c>
      <c r="BC64" s="121" t="s">
        <v>57</v>
      </c>
      <c r="BD64" s="10"/>
      <c r="BE64" s="181"/>
      <c r="BF64" s="304"/>
      <c r="BG64" s="305"/>
      <c r="BH64" s="305"/>
      <c r="BI64" s="306"/>
    </row>
    <row r="65" spans="3:64" ht="16" x14ac:dyDescent="0.2">
      <c r="C65" s="191" t="s">
        <v>93</v>
      </c>
      <c r="D65" s="8">
        <v>3</v>
      </c>
      <c r="E65" s="8">
        <v>8</v>
      </c>
      <c r="F65" s="30">
        <f>(0.74*F10)-5</f>
        <v>-5</v>
      </c>
      <c r="G65" s="5" t="s">
        <v>3</v>
      </c>
      <c r="H65" s="31">
        <f>(0.74*F10)+5</f>
        <v>5</v>
      </c>
      <c r="I65" s="8">
        <v>9</v>
      </c>
      <c r="J65" s="119" t="s">
        <v>57</v>
      </c>
      <c r="K65" s="8"/>
      <c r="L65" s="180"/>
      <c r="M65" s="312"/>
      <c r="N65" s="313"/>
      <c r="O65" s="313"/>
      <c r="P65" s="314"/>
      <c r="R65" s="7" t="str">
        <f>R31</f>
        <v>Unterkörperübung, unilateral</v>
      </c>
      <c r="S65" s="8">
        <v>3</v>
      </c>
      <c r="T65" s="8">
        <v>10</v>
      </c>
      <c r="U65" s="30"/>
      <c r="V65" s="5" t="s">
        <v>3</v>
      </c>
      <c r="W65" s="31"/>
      <c r="X65" s="8">
        <v>9</v>
      </c>
      <c r="Y65" s="8"/>
      <c r="Z65" s="8"/>
      <c r="AA65" s="180"/>
      <c r="AB65" s="312"/>
      <c r="AC65" s="313"/>
      <c r="AD65" s="313"/>
      <c r="AE65" s="314"/>
      <c r="AG65" s="7" t="str">
        <f>AG31</f>
        <v>Rudern</v>
      </c>
      <c r="AH65" s="8">
        <v>3</v>
      </c>
      <c r="AI65" s="28" t="s">
        <v>26</v>
      </c>
      <c r="AJ65" s="30"/>
      <c r="AK65" s="5" t="s">
        <v>3</v>
      </c>
      <c r="AL65" s="31"/>
      <c r="AM65" s="32" t="s">
        <v>32</v>
      </c>
      <c r="AN65" s="8"/>
      <c r="AO65" s="8"/>
      <c r="AP65" s="180"/>
      <c r="AQ65" s="13"/>
      <c r="AR65" s="14"/>
      <c r="AS65" s="14"/>
      <c r="AT65" s="15"/>
      <c r="AU65" s="25"/>
      <c r="AV65" s="7" t="str">
        <f>AV31</f>
        <v>Latzug</v>
      </c>
      <c r="AW65" s="8">
        <v>3</v>
      </c>
      <c r="AX65" s="266" t="s">
        <v>26</v>
      </c>
      <c r="AY65" s="81"/>
      <c r="AZ65" s="5" t="s">
        <v>3</v>
      </c>
      <c r="BA65" s="82"/>
      <c r="BB65" s="32" t="s">
        <v>32</v>
      </c>
      <c r="BC65" s="8"/>
      <c r="BD65" s="8"/>
      <c r="BE65" s="180"/>
      <c r="BF65" s="312"/>
      <c r="BG65" s="313"/>
      <c r="BH65" s="313"/>
      <c r="BI65" s="314"/>
      <c r="BL65" s="108"/>
    </row>
    <row r="66" spans="3:64" ht="16" x14ac:dyDescent="0.2">
      <c r="C66" s="9" t="str">
        <f>C32</f>
        <v>Rudern</v>
      </c>
      <c r="D66" s="10">
        <v>3</v>
      </c>
      <c r="E66" s="275" t="str">
        <f>IF(OR(C66="Pendlay Rudern"),"6","8-10")</f>
        <v>8-10</v>
      </c>
      <c r="F66" s="44"/>
      <c r="G66" s="4" t="s">
        <v>3</v>
      </c>
      <c r="H66" s="35"/>
      <c r="I66" s="10">
        <v>9</v>
      </c>
      <c r="J66" s="10"/>
      <c r="K66" s="10"/>
      <c r="L66" s="181"/>
      <c r="M66" s="304"/>
      <c r="N66" s="305"/>
      <c r="O66" s="305"/>
      <c r="P66" s="306"/>
      <c r="R66" s="9" t="str">
        <f>R32</f>
        <v>Oberkörper Drückbewegung</v>
      </c>
      <c r="S66" s="10">
        <v>2</v>
      </c>
      <c r="T66" s="10" t="str">
        <f>IF(OR(R66="Dips",R66="Military Press"),"6-8","10-12")</f>
        <v>10-12</v>
      </c>
      <c r="U66" s="44"/>
      <c r="V66" s="4" t="s">
        <v>3</v>
      </c>
      <c r="W66" s="35"/>
      <c r="X66" s="29" t="s">
        <v>32</v>
      </c>
      <c r="Y66" s="10"/>
      <c r="Z66" s="10"/>
      <c r="AA66" s="181"/>
      <c r="AB66" s="304"/>
      <c r="AC66" s="305"/>
      <c r="AD66" s="305"/>
      <c r="AE66" s="306"/>
      <c r="AG66" s="9" t="s">
        <v>24</v>
      </c>
      <c r="AH66" s="10">
        <v>3</v>
      </c>
      <c r="AI66" s="10">
        <v>8</v>
      </c>
      <c r="AJ66" s="59"/>
      <c r="AK66" s="4" t="s">
        <v>3</v>
      </c>
      <c r="AL66" s="61"/>
      <c r="AM66" s="10">
        <v>9</v>
      </c>
      <c r="AN66" s="10"/>
      <c r="AO66" s="10"/>
      <c r="AP66" s="181"/>
      <c r="AQ66" s="16"/>
      <c r="AR66" s="17"/>
      <c r="AS66" s="17"/>
      <c r="AT66" s="18"/>
      <c r="AU66" s="25"/>
      <c r="AV66" s="9" t="str">
        <f>AV32</f>
        <v>Hintere Schulter</v>
      </c>
      <c r="AW66" s="10">
        <v>3</v>
      </c>
      <c r="AX66" s="29" t="s">
        <v>26</v>
      </c>
      <c r="AY66" s="44"/>
      <c r="AZ66" s="4" t="s">
        <v>3</v>
      </c>
      <c r="BA66" s="35"/>
      <c r="BB66" s="29" t="s">
        <v>32</v>
      </c>
      <c r="BC66" s="10"/>
      <c r="BD66" s="10"/>
      <c r="BE66" s="181"/>
      <c r="BF66" s="304"/>
      <c r="BG66" s="305"/>
      <c r="BH66" s="305"/>
      <c r="BI66" s="306"/>
    </row>
    <row r="67" spans="3:64" ht="16" x14ac:dyDescent="0.2">
      <c r="C67" s="7" t="str">
        <f>C33</f>
        <v>Oberkörper Drückbewegung</v>
      </c>
      <c r="D67" s="8">
        <v>3</v>
      </c>
      <c r="E67" s="8">
        <f>IF(OR(C33="Dips",C22="LH Schulterdrücken"),5,8)</f>
        <v>8</v>
      </c>
      <c r="F67" s="40"/>
      <c r="G67" s="5" t="s">
        <v>3</v>
      </c>
      <c r="H67" s="41"/>
      <c r="I67" s="8">
        <v>9</v>
      </c>
      <c r="J67" s="8"/>
      <c r="K67" s="8"/>
      <c r="L67" s="180"/>
      <c r="M67" s="312"/>
      <c r="N67" s="313"/>
      <c r="O67" s="313"/>
      <c r="P67" s="314"/>
      <c r="R67" s="7" t="s">
        <v>19</v>
      </c>
      <c r="S67" s="32" t="s">
        <v>36</v>
      </c>
      <c r="T67" s="32" t="s">
        <v>35</v>
      </c>
      <c r="U67" s="30"/>
      <c r="V67" s="5" t="s">
        <v>3</v>
      </c>
      <c r="W67" s="31"/>
      <c r="X67" s="32" t="s">
        <v>32</v>
      </c>
      <c r="Y67" s="8"/>
      <c r="Z67" s="8"/>
      <c r="AA67" s="180"/>
      <c r="AB67" s="312"/>
      <c r="AC67" s="313"/>
      <c r="AD67" s="313"/>
      <c r="AE67" s="314"/>
      <c r="AG67" s="118" t="s">
        <v>96</v>
      </c>
      <c r="AH67" s="8">
        <v>3</v>
      </c>
      <c r="AI67" s="8"/>
      <c r="AJ67" s="40"/>
      <c r="AK67" s="5" t="s">
        <v>3</v>
      </c>
      <c r="AL67" s="41"/>
      <c r="AM67" s="8"/>
      <c r="AN67" s="8"/>
      <c r="AO67" s="8"/>
      <c r="AP67" s="180"/>
      <c r="AQ67" s="13"/>
      <c r="AR67" s="14"/>
      <c r="AS67" s="14"/>
      <c r="AT67" s="15"/>
      <c r="AU67" s="25"/>
      <c r="AV67" s="7" t="s">
        <v>19</v>
      </c>
      <c r="AW67" s="32" t="s">
        <v>36</v>
      </c>
      <c r="AX67" s="32" t="s">
        <v>35</v>
      </c>
      <c r="AY67" s="30"/>
      <c r="AZ67" s="5" t="s">
        <v>3</v>
      </c>
      <c r="BA67" s="31"/>
      <c r="BB67" s="32" t="s">
        <v>28</v>
      </c>
      <c r="BC67" s="8"/>
      <c r="BD67" s="8"/>
      <c r="BE67" s="180"/>
      <c r="BF67" s="312"/>
      <c r="BG67" s="313"/>
      <c r="BH67" s="313"/>
      <c r="BI67" s="314"/>
    </row>
    <row r="68" spans="3:64" ht="16" x14ac:dyDescent="0.2">
      <c r="C68" s="192" t="s">
        <v>96</v>
      </c>
      <c r="D68" s="10">
        <v>2</v>
      </c>
      <c r="E68" s="10"/>
      <c r="F68" s="44"/>
      <c r="G68" s="4" t="s">
        <v>3</v>
      </c>
      <c r="H68" s="35"/>
      <c r="I68" s="10"/>
      <c r="J68" s="10"/>
      <c r="K68" s="10"/>
      <c r="L68" s="181"/>
      <c r="M68" s="304"/>
      <c r="N68" s="305"/>
      <c r="O68" s="305"/>
      <c r="P68" s="306"/>
      <c r="R68" s="9" t="s">
        <v>20</v>
      </c>
      <c r="S68" s="29" t="s">
        <v>36</v>
      </c>
      <c r="T68" s="29" t="s">
        <v>35</v>
      </c>
      <c r="U68" s="44"/>
      <c r="V68" s="4" t="s">
        <v>3</v>
      </c>
      <c r="W68" s="35"/>
      <c r="X68" s="29" t="s">
        <v>32</v>
      </c>
      <c r="Y68" s="10"/>
      <c r="Z68" s="10"/>
      <c r="AA68" s="181"/>
      <c r="AB68" s="304"/>
      <c r="AC68" s="305"/>
      <c r="AD68" s="305"/>
      <c r="AE68" s="306"/>
      <c r="AG68" s="9"/>
      <c r="AH68" s="10"/>
      <c r="AI68" s="10"/>
      <c r="AJ68" s="59"/>
      <c r="AK68" s="4" t="s">
        <v>3</v>
      </c>
      <c r="AL68" s="61"/>
      <c r="AM68" s="10"/>
      <c r="AN68" s="10"/>
      <c r="AO68" s="10"/>
      <c r="AP68" s="181"/>
      <c r="AQ68" s="16"/>
      <c r="AR68" s="17"/>
      <c r="AS68" s="17"/>
      <c r="AT68" s="18"/>
      <c r="AU68" s="25"/>
      <c r="AV68" s="9" t="s">
        <v>20</v>
      </c>
      <c r="AW68" s="29" t="s">
        <v>36</v>
      </c>
      <c r="AX68" s="29" t="s">
        <v>35</v>
      </c>
      <c r="AY68" s="44"/>
      <c r="AZ68" s="4" t="s">
        <v>3</v>
      </c>
      <c r="BA68" s="35"/>
      <c r="BB68" s="29" t="s">
        <v>28</v>
      </c>
      <c r="BC68" s="10"/>
      <c r="BD68" s="10"/>
      <c r="BE68" s="181"/>
      <c r="BF68" s="304"/>
      <c r="BG68" s="305"/>
      <c r="BH68" s="305"/>
      <c r="BI68" s="306"/>
    </row>
    <row r="69" spans="3:64" ht="17" thickBot="1" x14ac:dyDescent="0.25">
      <c r="C69" s="11"/>
      <c r="D69" s="12"/>
      <c r="E69" s="12"/>
      <c r="F69" s="45"/>
      <c r="G69" s="6" t="s">
        <v>3</v>
      </c>
      <c r="H69" s="36"/>
      <c r="I69" s="12"/>
      <c r="J69" s="12"/>
      <c r="K69" s="12"/>
      <c r="L69" s="182"/>
      <c r="M69" s="321"/>
      <c r="N69" s="322"/>
      <c r="O69" s="322"/>
      <c r="P69" s="323"/>
      <c r="R69" s="11"/>
      <c r="S69" s="12"/>
      <c r="T69" s="12"/>
      <c r="U69" s="45"/>
      <c r="V69" s="6" t="s">
        <v>3</v>
      </c>
      <c r="W69" s="36"/>
      <c r="X69" s="12"/>
      <c r="Y69" s="12"/>
      <c r="Z69" s="12"/>
      <c r="AA69" s="182"/>
      <c r="AB69" s="321"/>
      <c r="AC69" s="322"/>
      <c r="AD69" s="322"/>
      <c r="AE69" s="323"/>
      <c r="AG69" s="11"/>
      <c r="AH69" s="12"/>
      <c r="AI69" s="12"/>
      <c r="AJ69" s="60"/>
      <c r="AK69" s="6" t="s">
        <v>3</v>
      </c>
      <c r="AL69" s="62"/>
      <c r="AM69" s="12"/>
      <c r="AN69" s="12"/>
      <c r="AO69" s="12"/>
      <c r="AP69" s="182"/>
      <c r="AQ69" s="19"/>
      <c r="AR69" s="20"/>
      <c r="AS69" s="20"/>
      <c r="AT69" s="21"/>
      <c r="AU69" s="25"/>
      <c r="AV69" s="11"/>
      <c r="AW69" s="12"/>
      <c r="AX69" s="12"/>
      <c r="AY69" s="60"/>
      <c r="AZ69" s="6" t="s">
        <v>3</v>
      </c>
      <c r="BA69" s="62"/>
      <c r="BB69" s="12"/>
      <c r="BC69" s="12"/>
      <c r="BD69" s="12"/>
      <c r="BE69" s="182"/>
      <c r="BF69" s="321"/>
      <c r="BG69" s="322"/>
      <c r="BH69" s="322"/>
      <c r="BI69" s="323"/>
    </row>
    <row r="70" spans="3:64" ht="16" x14ac:dyDescent="0.2">
      <c r="C70" s="104"/>
      <c r="D70" s="24"/>
      <c r="E70" s="104"/>
      <c r="F70" s="105"/>
      <c r="G70" s="66" t="s">
        <v>3</v>
      </c>
      <c r="H70" s="88"/>
      <c r="I70" s="104"/>
      <c r="J70" s="24"/>
      <c r="K70" s="104"/>
      <c r="L70" s="104"/>
      <c r="M70" s="106"/>
      <c r="N70" s="83"/>
      <c r="O70" s="83"/>
      <c r="P70" s="83"/>
      <c r="AA70" s="104"/>
      <c r="AP70" s="104"/>
      <c r="BE70" s="104"/>
    </row>
    <row r="71" spans="3:64" ht="16" thickBot="1" x14ac:dyDescent="0.25"/>
    <row r="72" spans="3:64" ht="25" thickBot="1" x14ac:dyDescent="0.25">
      <c r="C72" s="95" t="s">
        <v>39</v>
      </c>
      <c r="D72" s="1"/>
      <c r="E72" s="1"/>
      <c r="F72" s="43"/>
      <c r="G72" s="1"/>
      <c r="H72" s="46"/>
      <c r="I72" s="1"/>
      <c r="J72" s="1"/>
      <c r="K72" s="1"/>
      <c r="L72" s="1"/>
      <c r="M72" s="1"/>
      <c r="N72" s="1"/>
      <c r="O72" s="1"/>
      <c r="P72" s="1"/>
      <c r="AA72" s="1"/>
      <c r="AP72" s="1"/>
      <c r="BE72" s="1"/>
    </row>
    <row r="73" spans="3:64" ht="20" thickBot="1" x14ac:dyDescent="0.3">
      <c r="C73" s="188" t="s">
        <v>112</v>
      </c>
      <c r="D73" s="299" t="s">
        <v>128</v>
      </c>
      <c r="E73" s="299" t="s">
        <v>54</v>
      </c>
      <c r="F73" s="308" t="s">
        <v>27</v>
      </c>
      <c r="G73" s="308"/>
      <c r="H73" s="309"/>
      <c r="I73" s="299" t="s">
        <v>5</v>
      </c>
      <c r="J73" s="299" t="s">
        <v>129</v>
      </c>
      <c r="K73" s="299" t="s">
        <v>7</v>
      </c>
      <c r="L73" s="298" t="s">
        <v>63</v>
      </c>
      <c r="M73" s="310" t="s">
        <v>6</v>
      </c>
      <c r="N73" s="308"/>
      <c r="O73" s="308"/>
      <c r="P73" s="311"/>
      <c r="R73" s="142" t="s">
        <v>117</v>
      </c>
      <c r="S73" s="299" t="s">
        <v>128</v>
      </c>
      <c r="T73" s="299" t="s">
        <v>54</v>
      </c>
      <c r="U73" s="308" t="s">
        <v>27</v>
      </c>
      <c r="V73" s="308"/>
      <c r="W73" s="309"/>
      <c r="X73" s="299" t="s">
        <v>5</v>
      </c>
      <c r="Y73" s="299" t="s">
        <v>129</v>
      </c>
      <c r="Z73" s="299" t="s">
        <v>7</v>
      </c>
      <c r="AA73" s="298" t="s">
        <v>63</v>
      </c>
      <c r="AB73" s="310" t="s">
        <v>6</v>
      </c>
      <c r="AC73" s="308"/>
      <c r="AD73" s="308"/>
      <c r="AE73" s="311"/>
      <c r="AG73" s="142" t="s">
        <v>122</v>
      </c>
      <c r="AH73" s="299" t="s">
        <v>128</v>
      </c>
      <c r="AI73" s="299" t="s">
        <v>54</v>
      </c>
      <c r="AJ73" s="308" t="s">
        <v>27</v>
      </c>
      <c r="AK73" s="308"/>
      <c r="AL73" s="309"/>
      <c r="AM73" s="299" t="s">
        <v>5</v>
      </c>
      <c r="AN73" s="299" t="s">
        <v>129</v>
      </c>
      <c r="AO73" s="299" t="s">
        <v>7</v>
      </c>
      <c r="AP73" s="298" t="s">
        <v>63</v>
      </c>
      <c r="AQ73" s="310" t="s">
        <v>6</v>
      </c>
      <c r="AR73" s="308"/>
      <c r="AS73" s="308"/>
      <c r="AT73" s="311"/>
      <c r="AU73" s="26"/>
      <c r="AV73" s="188" t="s">
        <v>127</v>
      </c>
      <c r="AW73" s="299" t="s">
        <v>128</v>
      </c>
      <c r="AX73" s="299" t="s">
        <v>54</v>
      </c>
      <c r="AY73" s="308" t="s">
        <v>27</v>
      </c>
      <c r="AZ73" s="308"/>
      <c r="BA73" s="309"/>
      <c r="BB73" s="299" t="s">
        <v>5</v>
      </c>
      <c r="BC73" s="299" t="s">
        <v>129</v>
      </c>
      <c r="BD73" s="299" t="s">
        <v>7</v>
      </c>
      <c r="BE73" s="298" t="s">
        <v>63</v>
      </c>
      <c r="BF73" s="310" t="s">
        <v>6</v>
      </c>
      <c r="BG73" s="308"/>
      <c r="BH73" s="308"/>
      <c r="BI73" s="311"/>
    </row>
    <row r="74" spans="3:64" ht="16" x14ac:dyDescent="0.2">
      <c r="C74" s="7" t="str">
        <f>C29</f>
        <v>WK-Kniebeuge</v>
      </c>
      <c r="D74" s="8">
        <v>3</v>
      </c>
      <c r="E74" s="8">
        <v>4</v>
      </c>
      <c r="F74" s="30">
        <f>(0.76*D10)-5</f>
        <v>-5</v>
      </c>
      <c r="G74" s="5" t="s">
        <v>3</v>
      </c>
      <c r="H74" s="31">
        <f>(0.76*D10)+5</f>
        <v>5</v>
      </c>
      <c r="I74" s="28" t="s">
        <v>29</v>
      </c>
      <c r="J74" s="119" t="s">
        <v>58</v>
      </c>
      <c r="K74" s="8"/>
      <c r="L74" s="180"/>
      <c r="M74" s="318"/>
      <c r="N74" s="319"/>
      <c r="O74" s="319"/>
      <c r="P74" s="320"/>
      <c r="R74" s="7" t="s">
        <v>94</v>
      </c>
      <c r="S74" s="8">
        <v>3</v>
      </c>
      <c r="T74" s="8">
        <v>4</v>
      </c>
      <c r="U74" s="30">
        <f>(0.76*H10)-5</f>
        <v>-5</v>
      </c>
      <c r="V74" s="5" t="s">
        <v>3</v>
      </c>
      <c r="W74" s="31">
        <f>(0.76*H10)+5</f>
        <v>5</v>
      </c>
      <c r="X74" s="8" t="s">
        <v>29</v>
      </c>
      <c r="Y74" s="8" t="s">
        <v>37</v>
      </c>
      <c r="Z74" s="8"/>
      <c r="AA74" s="180"/>
      <c r="AB74" s="318"/>
      <c r="AC74" s="319"/>
      <c r="AD74" s="319"/>
      <c r="AE74" s="320"/>
      <c r="AG74" s="7" t="s">
        <v>95</v>
      </c>
      <c r="AH74" s="8">
        <v>3</v>
      </c>
      <c r="AI74" s="8">
        <v>6</v>
      </c>
      <c r="AJ74" s="30">
        <f>(0.71*D13)-5</f>
        <v>-5</v>
      </c>
      <c r="AK74" s="5" t="s">
        <v>3</v>
      </c>
      <c r="AL74" s="31">
        <f>(0.71*D13)+5</f>
        <v>5</v>
      </c>
      <c r="AM74" s="32" t="s">
        <v>29</v>
      </c>
      <c r="AN74" s="119" t="s">
        <v>59</v>
      </c>
      <c r="AO74" s="8"/>
      <c r="AP74" s="180"/>
      <c r="AQ74" s="318"/>
      <c r="AR74" s="319"/>
      <c r="AS74" s="319"/>
      <c r="AT74" s="320"/>
      <c r="AU74" s="25"/>
      <c r="AV74" s="191" t="s">
        <v>93</v>
      </c>
      <c r="AW74" s="8">
        <v>3</v>
      </c>
      <c r="AX74" s="8">
        <v>4</v>
      </c>
      <c r="AY74" s="30">
        <f>(0.76*F10)-5</f>
        <v>-5</v>
      </c>
      <c r="AZ74" s="5" t="s">
        <v>3</v>
      </c>
      <c r="BA74" s="31">
        <f>(0.76*F10)+5</f>
        <v>5</v>
      </c>
      <c r="BB74" s="28" t="s">
        <v>29</v>
      </c>
      <c r="BC74" s="119" t="s">
        <v>57</v>
      </c>
      <c r="BD74" s="8"/>
      <c r="BE74" s="180"/>
      <c r="BF74" s="318"/>
      <c r="BG74" s="319"/>
      <c r="BH74" s="319"/>
      <c r="BI74" s="320"/>
    </row>
    <row r="75" spans="3:64" ht="16" x14ac:dyDescent="0.2">
      <c r="C75" s="9" t="str">
        <f>C30</f>
        <v>Kniebeuge - Variation</v>
      </c>
      <c r="D75" s="10">
        <v>2</v>
      </c>
      <c r="E75" s="10">
        <v>3</v>
      </c>
      <c r="F75" s="44">
        <f>IF(C30="2ct. WK-Kniebeuge",(D11*0.77)-5,(D12*0.77)-5)</f>
        <v>-5</v>
      </c>
      <c r="G75" s="4" t="s">
        <v>3</v>
      </c>
      <c r="H75" s="35">
        <f>IF(C30="2ct. WK-Kniebeuge",(D11*0.77)+5,(D12*0.77)+5)</f>
        <v>5</v>
      </c>
      <c r="I75" s="29" t="s">
        <v>29</v>
      </c>
      <c r="J75" s="121" t="s">
        <v>58</v>
      </c>
      <c r="K75" s="10"/>
      <c r="L75" s="181"/>
      <c r="M75" s="304"/>
      <c r="N75" s="305"/>
      <c r="O75" s="305"/>
      <c r="P75" s="306"/>
      <c r="R75" s="9" t="str">
        <f>R30</f>
        <v>Bankdrücken - Variation</v>
      </c>
      <c r="S75" s="10">
        <v>2</v>
      </c>
      <c r="T75" s="10">
        <v>2</v>
      </c>
      <c r="U75" s="44">
        <f>IF(R30="3ct. WK-Bankdrücken",(F11*0.79)-5,(F12*0.79)-5)</f>
        <v>-5</v>
      </c>
      <c r="V75" s="4" t="s">
        <v>3</v>
      </c>
      <c r="W75" s="35">
        <f>IF(R30="3ct. WK-Bankdrücken",(F11*0.79)+5,(F12*0.79)+5)</f>
        <v>5</v>
      </c>
      <c r="X75" s="10" t="s">
        <v>29</v>
      </c>
      <c r="Y75" s="121" t="s">
        <v>57</v>
      </c>
      <c r="Z75" s="10"/>
      <c r="AA75" s="181"/>
      <c r="AB75" s="304"/>
      <c r="AC75" s="305"/>
      <c r="AD75" s="305"/>
      <c r="AE75" s="306"/>
      <c r="AG75" s="9" t="str">
        <f>AG30</f>
        <v>Kreuzheben - Variation</v>
      </c>
      <c r="AH75" s="10">
        <v>2</v>
      </c>
      <c r="AI75" s="275">
        <f>IF(AG75="Kreuzheben im Reißgriff",5,6)</f>
        <v>6</v>
      </c>
      <c r="AJ75" s="59"/>
      <c r="AK75" s="4" t="s">
        <v>3</v>
      </c>
      <c r="AL75" s="61"/>
      <c r="AM75" s="10">
        <v>6</v>
      </c>
      <c r="AN75" s="10" t="s">
        <v>56</v>
      </c>
      <c r="AO75" s="10"/>
      <c r="AP75" s="181"/>
      <c r="AQ75" s="304"/>
      <c r="AR75" s="305"/>
      <c r="AS75" s="305"/>
      <c r="AT75" s="306"/>
      <c r="AU75" s="25"/>
      <c r="AV75" s="192" t="s">
        <v>99</v>
      </c>
      <c r="AW75" s="10">
        <v>2</v>
      </c>
      <c r="AX75" s="10">
        <v>6</v>
      </c>
      <c r="AY75" s="44">
        <f>(0.7*F13)-5</f>
        <v>-5</v>
      </c>
      <c r="AZ75" s="4" t="s">
        <v>3</v>
      </c>
      <c r="BA75" s="35">
        <f>(0.7*F13)+5</f>
        <v>5</v>
      </c>
      <c r="BB75" s="29" t="s">
        <v>29</v>
      </c>
      <c r="BC75" s="121" t="s">
        <v>57</v>
      </c>
      <c r="BD75" s="10"/>
      <c r="BE75" s="181"/>
      <c r="BF75" s="304"/>
      <c r="BG75" s="305"/>
      <c r="BH75" s="305"/>
      <c r="BI75" s="306"/>
    </row>
    <row r="76" spans="3:64" ht="16" x14ac:dyDescent="0.2">
      <c r="C76" s="191" t="s">
        <v>93</v>
      </c>
      <c r="D76" s="8">
        <v>3</v>
      </c>
      <c r="E76" s="8">
        <v>6</v>
      </c>
      <c r="F76" s="30">
        <f>(0.72*F10)-5</f>
        <v>-5</v>
      </c>
      <c r="G76" s="5" t="s">
        <v>3</v>
      </c>
      <c r="H76" s="31">
        <f>(0.72*F10)+5</f>
        <v>5</v>
      </c>
      <c r="I76" s="8" t="s">
        <v>29</v>
      </c>
      <c r="J76" s="119" t="s">
        <v>57</v>
      </c>
      <c r="K76" s="8"/>
      <c r="L76" s="180"/>
      <c r="M76" s="312"/>
      <c r="N76" s="313"/>
      <c r="O76" s="313"/>
      <c r="P76" s="314"/>
      <c r="R76" s="7" t="str">
        <f>R31</f>
        <v>Unterkörperübung, unilateral</v>
      </c>
      <c r="S76" s="8">
        <v>2</v>
      </c>
      <c r="T76" s="8">
        <v>8</v>
      </c>
      <c r="U76" s="30"/>
      <c r="V76" s="5" t="s">
        <v>3</v>
      </c>
      <c r="W76" s="31"/>
      <c r="X76" s="8">
        <v>7</v>
      </c>
      <c r="Y76" s="8"/>
      <c r="Z76" s="8"/>
      <c r="AA76" s="180"/>
      <c r="AB76" s="312"/>
      <c r="AC76" s="313"/>
      <c r="AD76" s="313"/>
      <c r="AE76" s="314"/>
      <c r="AG76" s="7" t="str">
        <f>AG31</f>
        <v>Rudern</v>
      </c>
      <c r="AH76" s="8">
        <v>3</v>
      </c>
      <c r="AI76" s="8">
        <v>8</v>
      </c>
      <c r="AJ76" s="40"/>
      <c r="AK76" s="5" t="s">
        <v>3</v>
      </c>
      <c r="AL76" s="41"/>
      <c r="AM76" s="8">
        <v>6</v>
      </c>
      <c r="AN76" s="8"/>
      <c r="AO76" s="8"/>
      <c r="AP76" s="180"/>
      <c r="AQ76" s="312"/>
      <c r="AR76" s="313"/>
      <c r="AS76" s="313"/>
      <c r="AT76" s="314"/>
      <c r="AU76" s="25"/>
      <c r="AV76" s="7" t="str">
        <f>AV31</f>
        <v>Latzug</v>
      </c>
      <c r="AW76" s="8">
        <v>2</v>
      </c>
      <c r="AX76" s="8">
        <v>8</v>
      </c>
      <c r="AY76" s="81"/>
      <c r="AZ76" s="5" t="s">
        <v>3</v>
      </c>
      <c r="BA76" s="82"/>
      <c r="BB76" s="8">
        <v>6</v>
      </c>
      <c r="BC76" s="8"/>
      <c r="BD76" s="8"/>
      <c r="BE76" s="180"/>
      <c r="BF76" s="312"/>
      <c r="BG76" s="313"/>
      <c r="BH76" s="313"/>
      <c r="BI76" s="314"/>
    </row>
    <row r="77" spans="3:64" ht="16" x14ac:dyDescent="0.2">
      <c r="C77" s="9" t="str">
        <f>C32</f>
        <v>Rudern</v>
      </c>
      <c r="D77" s="10">
        <v>3</v>
      </c>
      <c r="E77" s="275" t="str">
        <f>IF(OR(C77="Pendlay Rudern"),"5","8")</f>
        <v>8</v>
      </c>
      <c r="F77" s="44"/>
      <c r="G77" s="4" t="s">
        <v>3</v>
      </c>
      <c r="H77" s="35"/>
      <c r="I77" s="10">
        <v>7</v>
      </c>
      <c r="J77" s="10"/>
      <c r="K77" s="10"/>
      <c r="L77" s="181"/>
      <c r="M77" s="304"/>
      <c r="N77" s="305"/>
      <c r="O77" s="305"/>
      <c r="P77" s="306"/>
      <c r="R77" s="9" t="str">
        <f>R32</f>
        <v>Oberkörper Drückbewegung</v>
      </c>
      <c r="S77" s="10">
        <v>2</v>
      </c>
      <c r="T77" s="10" t="str">
        <f>IF(OR(R66="Dips",R66="Military Press"),"6","8")</f>
        <v>8</v>
      </c>
      <c r="U77" s="44"/>
      <c r="V77" s="4" t="s">
        <v>3</v>
      </c>
      <c r="W77" s="35"/>
      <c r="X77" s="10">
        <v>7</v>
      </c>
      <c r="Y77" s="10"/>
      <c r="Z77" s="10"/>
      <c r="AA77" s="181"/>
      <c r="AB77" s="304"/>
      <c r="AC77" s="305"/>
      <c r="AD77" s="305"/>
      <c r="AE77" s="306"/>
      <c r="AG77" s="9" t="s">
        <v>24</v>
      </c>
      <c r="AH77" s="10">
        <v>2</v>
      </c>
      <c r="AI77" s="10">
        <v>6</v>
      </c>
      <c r="AJ77" s="59"/>
      <c r="AK77" s="4" t="s">
        <v>3</v>
      </c>
      <c r="AL77" s="61"/>
      <c r="AM77" s="10">
        <v>6</v>
      </c>
      <c r="AN77" s="10"/>
      <c r="AO77" s="10"/>
      <c r="AP77" s="181"/>
      <c r="AQ77" s="304"/>
      <c r="AR77" s="305"/>
      <c r="AS77" s="305"/>
      <c r="AT77" s="306"/>
      <c r="AU77" s="25"/>
      <c r="AV77" s="9" t="str">
        <f>AV32</f>
        <v>Hintere Schulter</v>
      </c>
      <c r="AW77" s="10">
        <v>3</v>
      </c>
      <c r="AX77" s="10">
        <v>8</v>
      </c>
      <c r="AY77" s="44"/>
      <c r="AZ77" s="4" t="s">
        <v>3</v>
      </c>
      <c r="BA77" s="35"/>
      <c r="BB77" s="10">
        <v>6</v>
      </c>
      <c r="BC77" s="10"/>
      <c r="BD77" s="10"/>
      <c r="BE77" s="181"/>
      <c r="BF77" s="304"/>
      <c r="BG77" s="305"/>
      <c r="BH77" s="305"/>
      <c r="BI77" s="306"/>
    </row>
    <row r="78" spans="3:64" ht="16" x14ac:dyDescent="0.2">
      <c r="C78" s="7" t="str">
        <f>C33</f>
        <v>Oberkörper Drückbewegung</v>
      </c>
      <c r="D78" s="8">
        <v>2</v>
      </c>
      <c r="E78" s="8">
        <f>IF(OR(C33="Dips",C33="Military Press"),5,8)</f>
        <v>8</v>
      </c>
      <c r="F78" s="40"/>
      <c r="G78" s="5" t="s">
        <v>3</v>
      </c>
      <c r="H78" s="41"/>
      <c r="I78" s="8">
        <v>7</v>
      </c>
      <c r="J78" s="8"/>
      <c r="K78" s="8"/>
      <c r="L78" s="180"/>
      <c r="M78" s="312"/>
      <c r="N78" s="313"/>
      <c r="O78" s="313"/>
      <c r="P78" s="314"/>
      <c r="R78" s="7" t="s">
        <v>19</v>
      </c>
      <c r="S78" s="8">
        <v>2</v>
      </c>
      <c r="T78" s="8">
        <v>8</v>
      </c>
      <c r="U78" s="30"/>
      <c r="V78" s="5" t="s">
        <v>3</v>
      </c>
      <c r="W78" s="31"/>
      <c r="X78" s="8">
        <v>7</v>
      </c>
      <c r="Y78" s="8"/>
      <c r="Z78" s="8"/>
      <c r="AA78" s="180"/>
      <c r="AB78" s="312"/>
      <c r="AC78" s="313"/>
      <c r="AD78" s="313"/>
      <c r="AE78" s="314"/>
      <c r="AG78" s="118" t="s">
        <v>96</v>
      </c>
      <c r="AH78" s="8">
        <v>2</v>
      </c>
      <c r="AI78" s="8"/>
      <c r="AJ78" s="40"/>
      <c r="AK78" s="5" t="s">
        <v>3</v>
      </c>
      <c r="AL78" s="41"/>
      <c r="AM78" s="8"/>
      <c r="AN78" s="8"/>
      <c r="AO78" s="8"/>
      <c r="AP78" s="180"/>
      <c r="AQ78" s="312"/>
      <c r="AR78" s="313"/>
      <c r="AS78" s="313"/>
      <c r="AT78" s="314"/>
      <c r="AU78" s="25"/>
      <c r="AV78" s="7" t="s">
        <v>19</v>
      </c>
      <c r="AW78" s="32">
        <v>2</v>
      </c>
      <c r="AX78" s="32">
        <v>8</v>
      </c>
      <c r="AY78" s="30"/>
      <c r="AZ78" s="5" t="s">
        <v>3</v>
      </c>
      <c r="BA78" s="31"/>
      <c r="BB78" s="32">
        <v>7</v>
      </c>
      <c r="BC78" s="8"/>
      <c r="BD78" s="8"/>
      <c r="BE78" s="180"/>
      <c r="BF78" s="312"/>
      <c r="BG78" s="313"/>
      <c r="BH78" s="313"/>
      <c r="BI78" s="314"/>
    </row>
    <row r="79" spans="3:64" ht="16" x14ac:dyDescent="0.2">
      <c r="C79" s="192" t="s">
        <v>96</v>
      </c>
      <c r="D79" s="10">
        <v>2</v>
      </c>
      <c r="E79" s="10"/>
      <c r="F79" s="44"/>
      <c r="G79" s="4" t="s">
        <v>3</v>
      </c>
      <c r="H79" s="35"/>
      <c r="I79" s="10"/>
      <c r="J79" s="10"/>
      <c r="K79" s="10"/>
      <c r="L79" s="181"/>
      <c r="M79" s="304"/>
      <c r="N79" s="305"/>
      <c r="O79" s="305"/>
      <c r="P79" s="306"/>
      <c r="R79" s="9" t="s">
        <v>20</v>
      </c>
      <c r="S79" s="10">
        <v>2</v>
      </c>
      <c r="T79" s="10">
        <v>8</v>
      </c>
      <c r="U79" s="44"/>
      <c r="V79" s="4" t="s">
        <v>3</v>
      </c>
      <c r="W79" s="35"/>
      <c r="X79" s="10">
        <v>7</v>
      </c>
      <c r="Y79" s="10"/>
      <c r="Z79" s="10"/>
      <c r="AA79" s="181"/>
      <c r="AB79" s="304"/>
      <c r="AC79" s="305"/>
      <c r="AD79" s="305"/>
      <c r="AE79" s="306"/>
      <c r="AG79" s="9"/>
      <c r="AH79" s="10"/>
      <c r="AI79" s="10"/>
      <c r="AJ79" s="59"/>
      <c r="AK79" s="4" t="s">
        <v>3</v>
      </c>
      <c r="AL79" s="61"/>
      <c r="AM79" s="10"/>
      <c r="AN79" s="10"/>
      <c r="AO79" s="10"/>
      <c r="AP79" s="181"/>
      <c r="AQ79" s="304"/>
      <c r="AR79" s="305"/>
      <c r="AS79" s="305"/>
      <c r="AT79" s="306"/>
      <c r="AU79" s="25"/>
      <c r="AV79" s="9" t="s">
        <v>20</v>
      </c>
      <c r="AW79" s="29">
        <v>2</v>
      </c>
      <c r="AX79" s="29">
        <v>8</v>
      </c>
      <c r="AY79" s="44"/>
      <c r="AZ79" s="4" t="s">
        <v>3</v>
      </c>
      <c r="BA79" s="35"/>
      <c r="BB79" s="29">
        <v>7</v>
      </c>
      <c r="BC79" s="10"/>
      <c r="BD79" s="10"/>
      <c r="BE79" s="181"/>
      <c r="BF79" s="304"/>
      <c r="BG79" s="305"/>
      <c r="BH79" s="305"/>
      <c r="BI79" s="306"/>
    </row>
    <row r="80" spans="3:64" ht="17" thickBot="1" x14ac:dyDescent="0.25">
      <c r="C80" s="11"/>
      <c r="D80" s="12"/>
      <c r="E80" s="12"/>
      <c r="F80" s="45"/>
      <c r="G80" s="6" t="s">
        <v>3</v>
      </c>
      <c r="H80" s="36"/>
      <c r="I80" s="12"/>
      <c r="J80" s="12"/>
      <c r="K80" s="12"/>
      <c r="L80" s="182"/>
      <c r="M80" s="321"/>
      <c r="N80" s="322"/>
      <c r="O80" s="322"/>
      <c r="P80" s="323"/>
      <c r="R80" s="11"/>
      <c r="S80" s="12"/>
      <c r="T80" s="12"/>
      <c r="U80" s="45"/>
      <c r="V80" s="6" t="s">
        <v>3</v>
      </c>
      <c r="W80" s="36"/>
      <c r="X80" s="12"/>
      <c r="Y80" s="12"/>
      <c r="Z80" s="12"/>
      <c r="AA80" s="182"/>
      <c r="AB80" s="321"/>
      <c r="AC80" s="322"/>
      <c r="AD80" s="322"/>
      <c r="AE80" s="323"/>
      <c r="AG80" s="11"/>
      <c r="AH80" s="12"/>
      <c r="AI80" s="12"/>
      <c r="AJ80" s="60"/>
      <c r="AK80" s="6" t="s">
        <v>3</v>
      </c>
      <c r="AL80" s="62"/>
      <c r="AM80" s="12"/>
      <c r="AN80" s="12"/>
      <c r="AO80" s="12"/>
      <c r="AP80" s="182"/>
      <c r="AQ80" s="321"/>
      <c r="AR80" s="322"/>
      <c r="AS80" s="322"/>
      <c r="AT80" s="323"/>
      <c r="AU80" s="25"/>
      <c r="AV80" s="11"/>
      <c r="AW80" s="12"/>
      <c r="AX80" s="12"/>
      <c r="AY80" s="60"/>
      <c r="AZ80" s="6" t="s">
        <v>3</v>
      </c>
      <c r="BA80" s="62"/>
      <c r="BB80" s="12"/>
      <c r="BC80" s="12"/>
      <c r="BD80" s="12"/>
      <c r="BE80" s="182"/>
      <c r="BF80" s="321"/>
      <c r="BG80" s="322"/>
      <c r="BH80" s="322"/>
      <c r="BI80" s="323"/>
    </row>
    <row r="81" spans="1:57" ht="16" x14ac:dyDescent="0.2">
      <c r="A81" s="1"/>
      <c r="B81" s="1"/>
      <c r="C81" s="104"/>
      <c r="D81" s="104"/>
      <c r="E81" s="104"/>
      <c r="F81" s="87"/>
      <c r="G81" s="66"/>
      <c r="H81" s="107"/>
      <c r="I81" s="104"/>
      <c r="J81" s="104"/>
      <c r="K81" s="104"/>
      <c r="L81" s="24"/>
      <c r="M81" s="83"/>
      <c r="N81" s="83"/>
      <c r="O81" s="83"/>
      <c r="P81" s="106"/>
      <c r="AA81" s="24"/>
      <c r="AP81" s="24"/>
      <c r="BE81" s="24"/>
    </row>
    <row r="82" spans="1:57" ht="16" x14ac:dyDescent="0.2">
      <c r="A82" s="1"/>
      <c r="B82" s="1"/>
      <c r="C82" s="24"/>
      <c r="D82" s="24"/>
      <c r="E82" s="24"/>
      <c r="F82" s="87"/>
      <c r="G82" s="66"/>
      <c r="H82" s="88"/>
      <c r="I82" s="24"/>
      <c r="J82" s="24"/>
      <c r="K82" s="24"/>
      <c r="L82" s="24"/>
      <c r="M82" s="83"/>
      <c r="N82" s="83"/>
      <c r="O82" s="83"/>
      <c r="P82" s="83"/>
      <c r="AA82" s="24"/>
      <c r="AP82" s="24"/>
      <c r="BE82" s="24"/>
    </row>
    <row r="83" spans="1:57" ht="16" x14ac:dyDescent="0.2">
      <c r="A83" s="1"/>
      <c r="B83" s="1"/>
      <c r="C83" s="24"/>
      <c r="D83" s="24"/>
      <c r="E83" s="24"/>
      <c r="F83" s="87"/>
      <c r="G83" s="66"/>
      <c r="H83" s="88"/>
      <c r="I83" s="24"/>
      <c r="J83" s="24"/>
      <c r="K83" s="24"/>
      <c r="L83" s="24"/>
      <c r="M83" s="83"/>
      <c r="N83" s="83"/>
      <c r="O83" s="83"/>
      <c r="P83" s="83"/>
      <c r="AA83" s="24"/>
      <c r="AP83" s="24"/>
      <c r="BE83" s="24"/>
    </row>
    <row r="84" spans="1:57" x14ac:dyDescent="0.2">
      <c r="C84" s="1"/>
      <c r="D84" s="1"/>
      <c r="E84" s="1"/>
      <c r="F84" s="43"/>
      <c r="G84" s="1"/>
      <c r="H84" s="46"/>
      <c r="I84" s="1"/>
      <c r="J84" s="1"/>
      <c r="K84" s="1"/>
      <c r="L84" s="1"/>
      <c r="M84" s="1"/>
      <c r="N84" s="1"/>
      <c r="O84" s="1"/>
      <c r="P84" s="1"/>
      <c r="AA84" s="1"/>
      <c r="AP84" s="1"/>
      <c r="BE84" s="1"/>
    </row>
    <row r="86" spans="1:57" x14ac:dyDescent="0.2">
      <c r="K86" s="1"/>
      <c r="L86" s="1"/>
      <c r="AA86" s="1"/>
      <c r="AP86" s="1"/>
      <c r="BE86" s="1"/>
    </row>
  </sheetData>
  <mergeCells count="220">
    <mergeCell ref="M23:P23"/>
    <mergeCell ref="AB23:AE23"/>
    <mergeCell ref="AQ23:AT23"/>
    <mergeCell ref="BF23:BI23"/>
    <mergeCell ref="M24:P24"/>
    <mergeCell ref="AB24:AE24"/>
    <mergeCell ref="AQ24:AT24"/>
    <mergeCell ref="BF24:BI24"/>
    <mergeCell ref="F17:H17"/>
    <mergeCell ref="M17:P17"/>
    <mergeCell ref="U17:W17"/>
    <mergeCell ref="AB17:AE17"/>
    <mergeCell ref="AJ17:AL17"/>
    <mergeCell ref="AQ17:AT17"/>
    <mergeCell ref="AY17:BA17"/>
    <mergeCell ref="BF17:BI17"/>
    <mergeCell ref="M18:P18"/>
    <mergeCell ref="AB18:AE18"/>
    <mergeCell ref="AQ18:AT18"/>
    <mergeCell ref="BF18:BI18"/>
    <mergeCell ref="M20:P20"/>
    <mergeCell ref="AB20:AE20"/>
    <mergeCell ref="AQ20:AT20"/>
    <mergeCell ref="BF20:BI20"/>
    <mergeCell ref="M22:P22"/>
    <mergeCell ref="AB22:AE22"/>
    <mergeCell ref="AQ22:AT22"/>
    <mergeCell ref="BF22:BI22"/>
    <mergeCell ref="M19:P19"/>
    <mergeCell ref="AB19:AE19"/>
    <mergeCell ref="AQ19:AT19"/>
    <mergeCell ref="BF19:BI19"/>
    <mergeCell ref="M21:P21"/>
    <mergeCell ref="AB21:AE21"/>
    <mergeCell ref="AQ21:AT21"/>
    <mergeCell ref="BF21:BI21"/>
    <mergeCell ref="BF69:BI69"/>
    <mergeCell ref="BF67:BI67"/>
    <mergeCell ref="BF68:BI68"/>
    <mergeCell ref="AQ74:AT74"/>
    <mergeCell ref="AQ75:AT75"/>
    <mergeCell ref="AQ76:AT76"/>
    <mergeCell ref="AQ77:AT77"/>
    <mergeCell ref="AQ78:AT78"/>
    <mergeCell ref="AQ79:AT79"/>
    <mergeCell ref="AQ80:AT80"/>
    <mergeCell ref="BF74:BI74"/>
    <mergeCell ref="BF75:BI75"/>
    <mergeCell ref="BF76:BI76"/>
    <mergeCell ref="BF77:BI77"/>
    <mergeCell ref="BF78:BI78"/>
    <mergeCell ref="BF79:BI79"/>
    <mergeCell ref="BF80:BI80"/>
    <mergeCell ref="M79:P79"/>
    <mergeCell ref="M80:P80"/>
    <mergeCell ref="M74:P74"/>
    <mergeCell ref="M75:P75"/>
    <mergeCell ref="M76:P76"/>
    <mergeCell ref="M77:P77"/>
    <mergeCell ref="M78:P78"/>
    <mergeCell ref="AB74:AE74"/>
    <mergeCell ref="AB75:AE75"/>
    <mergeCell ref="AB76:AE76"/>
    <mergeCell ref="AB77:AE77"/>
    <mergeCell ref="AB78:AE78"/>
    <mergeCell ref="AB79:AE79"/>
    <mergeCell ref="AB80:AE80"/>
    <mergeCell ref="M33:P33"/>
    <mergeCell ref="AB34:AE34"/>
    <mergeCell ref="AB35:AE35"/>
    <mergeCell ref="U28:W28"/>
    <mergeCell ref="F28:H28"/>
    <mergeCell ref="M35:P35"/>
    <mergeCell ref="M34:P34"/>
    <mergeCell ref="AQ31:AT31"/>
    <mergeCell ref="M30:P30"/>
    <mergeCell ref="M29:P29"/>
    <mergeCell ref="M28:P28"/>
    <mergeCell ref="M31:P31"/>
    <mergeCell ref="M32:P32"/>
    <mergeCell ref="BF31:BI31"/>
    <mergeCell ref="BF32:BI32"/>
    <mergeCell ref="BF34:BI34"/>
    <mergeCell ref="BF35:BI35"/>
    <mergeCell ref="AY28:BA28"/>
    <mergeCell ref="BF28:BI28"/>
    <mergeCell ref="BF29:BI29"/>
    <mergeCell ref="BF30:BI30"/>
    <mergeCell ref="AB32:AE32"/>
    <mergeCell ref="AQ35:AT35"/>
    <mergeCell ref="AQ34:AT34"/>
    <mergeCell ref="AJ28:AL28"/>
    <mergeCell ref="AQ28:AT28"/>
    <mergeCell ref="AQ29:AT29"/>
    <mergeCell ref="AQ30:AT30"/>
    <mergeCell ref="AQ32:AT32"/>
    <mergeCell ref="AQ33:AT33"/>
    <mergeCell ref="AB28:AE28"/>
    <mergeCell ref="AB29:AE29"/>
    <mergeCell ref="AB30:AE30"/>
    <mergeCell ref="AB31:AE31"/>
    <mergeCell ref="AB33:AE33"/>
    <mergeCell ref="BF33:BI33"/>
    <mergeCell ref="F39:H39"/>
    <mergeCell ref="M39:P39"/>
    <mergeCell ref="M40:P40"/>
    <mergeCell ref="AJ39:AL39"/>
    <mergeCell ref="AQ39:AT39"/>
    <mergeCell ref="AY39:BA39"/>
    <mergeCell ref="BF39:BI39"/>
    <mergeCell ref="AB44:AE44"/>
    <mergeCell ref="M42:P42"/>
    <mergeCell ref="U39:W39"/>
    <mergeCell ref="AB39:AE39"/>
    <mergeCell ref="AB40:AE40"/>
    <mergeCell ref="BF42:BI42"/>
    <mergeCell ref="M41:P41"/>
    <mergeCell ref="AQ42:AT42"/>
    <mergeCell ref="AQ40:AT40"/>
    <mergeCell ref="BF40:BI40"/>
    <mergeCell ref="BF41:BI41"/>
    <mergeCell ref="F61:H61"/>
    <mergeCell ref="M61:P61"/>
    <mergeCell ref="M62:P62"/>
    <mergeCell ref="F50:H50"/>
    <mergeCell ref="M50:P50"/>
    <mergeCell ref="M51:P51"/>
    <mergeCell ref="M52:P52"/>
    <mergeCell ref="AQ53:AT53"/>
    <mergeCell ref="M57:P57"/>
    <mergeCell ref="AB56:AE56"/>
    <mergeCell ref="AB57:AE57"/>
    <mergeCell ref="AJ61:AL61"/>
    <mergeCell ref="AQ61:AT61"/>
    <mergeCell ref="M58:P58"/>
    <mergeCell ref="M56:P56"/>
    <mergeCell ref="U61:W61"/>
    <mergeCell ref="AB62:AE62"/>
    <mergeCell ref="M45:P45"/>
    <mergeCell ref="M46:P46"/>
    <mergeCell ref="M55:P55"/>
    <mergeCell ref="AB51:AE51"/>
    <mergeCell ref="M53:P53"/>
    <mergeCell ref="AQ51:AT51"/>
    <mergeCell ref="U50:W50"/>
    <mergeCell ref="AB50:AE50"/>
    <mergeCell ref="AB41:AE41"/>
    <mergeCell ref="AB42:AE42"/>
    <mergeCell ref="AB52:AE52"/>
    <mergeCell ref="AB53:AE53"/>
    <mergeCell ref="AB55:AE55"/>
    <mergeCell ref="AQ43:AT43"/>
    <mergeCell ref="M43:P43"/>
    <mergeCell ref="AB45:AE45"/>
    <mergeCell ref="AB46:AE46"/>
    <mergeCell ref="M44:P44"/>
    <mergeCell ref="AQ44:AT44"/>
    <mergeCell ref="AQ45:AT45"/>
    <mergeCell ref="AQ41:AT41"/>
    <mergeCell ref="AB43:AE43"/>
    <mergeCell ref="BF51:BI51"/>
    <mergeCell ref="AQ52:AT52"/>
    <mergeCell ref="BF52:BI52"/>
    <mergeCell ref="BF43:BI43"/>
    <mergeCell ref="BF45:BI45"/>
    <mergeCell ref="BF46:BI46"/>
    <mergeCell ref="BF44:BI44"/>
    <mergeCell ref="AB54:AE54"/>
    <mergeCell ref="AQ46:AT46"/>
    <mergeCell ref="AJ50:AL50"/>
    <mergeCell ref="AQ50:AT50"/>
    <mergeCell ref="AY50:BA50"/>
    <mergeCell ref="BF50:BI50"/>
    <mergeCell ref="AY61:BA61"/>
    <mergeCell ref="BF61:BI61"/>
    <mergeCell ref="AQ54:AT54"/>
    <mergeCell ref="AB61:AE61"/>
    <mergeCell ref="BF53:BI53"/>
    <mergeCell ref="BF54:BI54"/>
    <mergeCell ref="BF55:BI55"/>
    <mergeCell ref="BF56:BI56"/>
    <mergeCell ref="BF57:BI57"/>
    <mergeCell ref="AQ55:AT55"/>
    <mergeCell ref="AQ56:AT56"/>
    <mergeCell ref="M66:P66"/>
    <mergeCell ref="M67:P67"/>
    <mergeCell ref="AB65:AE65"/>
    <mergeCell ref="AB67:AE67"/>
    <mergeCell ref="AB69:AE69"/>
    <mergeCell ref="AB66:AE66"/>
    <mergeCell ref="AB68:AE68"/>
    <mergeCell ref="AQ63:AT63"/>
    <mergeCell ref="M64:P64"/>
    <mergeCell ref="AB64:AE64"/>
    <mergeCell ref="M68:P68"/>
    <mergeCell ref="M69:P69"/>
    <mergeCell ref="BF63:BI63"/>
    <mergeCell ref="BF66:BI66"/>
    <mergeCell ref="J2:Q2"/>
    <mergeCell ref="U73:W73"/>
    <mergeCell ref="F73:H73"/>
    <mergeCell ref="AJ73:AL73"/>
    <mergeCell ref="AY73:BA73"/>
    <mergeCell ref="AQ73:AT73"/>
    <mergeCell ref="BF73:BI73"/>
    <mergeCell ref="AB73:AE73"/>
    <mergeCell ref="M73:P73"/>
    <mergeCell ref="M63:P63"/>
    <mergeCell ref="F63:H63"/>
    <mergeCell ref="AB63:AE63"/>
    <mergeCell ref="U63:W63"/>
    <mergeCell ref="AQ62:AT62"/>
    <mergeCell ref="BF62:BI62"/>
    <mergeCell ref="AQ64:AT64"/>
    <mergeCell ref="BF64:BI64"/>
    <mergeCell ref="M65:P65"/>
    <mergeCell ref="BF65:BI65"/>
    <mergeCell ref="AY63:BA63"/>
    <mergeCell ref="AQ57:AT57"/>
    <mergeCell ref="M54:P54"/>
  </mergeCells>
  <dataValidations count="9">
    <dataValidation type="list" allowBlank="1" showInputMessage="1" showErrorMessage="1" sqref="C19" xr:uid="{82BB17A1-92ED-4CCE-9D7E-6BC65C2EDAA1}">
      <formula1>$BL$28:$BL$30</formula1>
    </dataValidation>
    <dataValidation type="list" allowBlank="1" showInputMessage="1" showErrorMessage="1" sqref="AG20" xr:uid="{F4858F9D-A421-4601-A514-A9ADCFC25C0F}">
      <formula1>$BL$31:$BL$35</formula1>
    </dataValidation>
    <dataValidation type="list" allowBlank="1" showInputMessage="1" showErrorMessage="1" sqref="AV20" xr:uid="{8488554F-49B6-40F5-A64B-0B29F01AAA2F}">
      <formula1>$BN$28:$BN$30</formula1>
    </dataValidation>
    <dataValidation type="list" allowBlank="1" showInputMessage="1" showErrorMessage="1" sqref="C22 R21" xr:uid="{F251DF05-E479-4F32-9E8D-1C360FC45DEC}">
      <formula1>$BN$31:$BN$36</formula1>
    </dataValidation>
    <dataValidation type="list" allowBlank="1" showInputMessage="1" showErrorMessage="1" sqref="R19" xr:uid="{597D0C2D-E50F-4361-98B0-2183489E1363}">
      <formula1>$BP$28:$BP$30</formula1>
    </dataValidation>
    <dataValidation type="list" allowBlank="1" showInputMessage="1" showErrorMessage="1" sqref="R20" xr:uid="{89F07B10-DB6A-4F1C-A072-8AC4A3646FF7}">
      <formula1>$BP$31:$BP$34</formula1>
    </dataValidation>
    <dataValidation type="list" allowBlank="1" showInputMessage="1" showErrorMessage="1" sqref="AG19" xr:uid="{8C78C59F-2FA8-46DE-AECC-FDDD7F9428A5}">
      <formula1>$BR$28:$BR$31</formula1>
    </dataValidation>
    <dataValidation type="list" allowBlank="1" showInputMessage="1" showErrorMessage="1" sqref="AV21" xr:uid="{E8D4D8D5-F0AE-436A-B94C-95FF05201047}">
      <formula1>$BN$37:$BN$41</formula1>
    </dataValidation>
    <dataValidation type="list" allowBlank="1" showInputMessage="1" showErrorMessage="1" sqref="C21" xr:uid="{07E71F15-27A7-4A6A-8893-E6E6D1A4D7B5}">
      <formula1>$BL$40:$BL$43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B4770-8F81-42E8-AD7A-C9A18A4A5407}">
  <sheetPr>
    <tabColor rgb="FFEA0000"/>
  </sheetPr>
  <dimension ref="B1:BR68"/>
  <sheetViews>
    <sheetView showGridLines="0" topLeftCell="A28" zoomScale="70" zoomScaleNormal="70" workbookViewId="0">
      <selection activeCell="C4" sqref="C4"/>
    </sheetView>
  </sheetViews>
  <sheetFormatPr baseColWidth="10" defaultColWidth="11.5" defaultRowHeight="15" x14ac:dyDescent="0.2"/>
  <cols>
    <col min="1" max="2" width="5.6640625" customWidth="1"/>
    <col min="3" max="3" width="32.5" bestFit="1" customWidth="1"/>
    <col min="4" max="4" width="12.5" customWidth="1"/>
    <col min="5" max="5" width="20.6640625" bestFit="1" customWidth="1"/>
    <col min="6" max="6" width="12.5" style="42" customWidth="1"/>
    <col min="7" max="7" width="22.5" bestFit="1" customWidth="1"/>
    <col min="8" max="8" width="12.5" style="47" customWidth="1"/>
    <col min="9" max="9" width="12.5" customWidth="1"/>
    <col min="10" max="10" width="25.1640625" bestFit="1" customWidth="1"/>
    <col min="11" max="11" width="22.83203125" bestFit="1" customWidth="1"/>
    <col min="12" max="12" width="22.83203125" customWidth="1"/>
    <col min="17" max="17" width="5.6640625" style="22" customWidth="1"/>
    <col min="18" max="18" width="28.5" style="22" bestFit="1" customWidth="1"/>
    <col min="19" max="20" width="12.5" style="22" customWidth="1"/>
    <col min="21" max="21" width="12.5" style="50" customWidth="1"/>
    <col min="22" max="22" width="12.5" style="22" customWidth="1"/>
    <col min="23" max="23" width="12.5" style="51" customWidth="1"/>
    <col min="24" max="24" width="12.5" style="22" customWidth="1"/>
    <col min="25" max="25" width="25.1640625" style="22" bestFit="1" customWidth="1"/>
    <col min="26" max="26" width="22.83203125" style="22" bestFit="1" customWidth="1"/>
    <col min="27" max="27" width="22.83203125" style="22" customWidth="1"/>
    <col min="28" max="31" width="11.5" style="22"/>
    <col min="32" max="32" width="5.6640625" style="22" customWidth="1"/>
    <col min="33" max="33" width="32.5" style="22" bestFit="1" customWidth="1"/>
    <col min="34" max="35" width="12.5" style="22" customWidth="1"/>
    <col min="36" max="36" width="12.5" style="50" customWidth="1"/>
    <col min="37" max="37" width="12.5" style="22" customWidth="1"/>
    <col min="38" max="38" width="12.5" style="51" customWidth="1"/>
    <col min="39" max="39" width="12.5" style="22" customWidth="1"/>
    <col min="40" max="40" width="25.1640625" style="22" bestFit="1" customWidth="1"/>
    <col min="41" max="41" width="22.83203125" style="22" bestFit="1" customWidth="1"/>
    <col min="42" max="42" width="22.83203125" style="22" customWidth="1"/>
    <col min="43" max="46" width="11.5" style="22"/>
    <col min="47" max="47" width="5.6640625" style="22" customWidth="1"/>
    <col min="48" max="48" width="34.33203125" style="22" bestFit="1" customWidth="1"/>
    <col min="49" max="50" width="12.5" style="22" customWidth="1"/>
    <col min="51" max="51" width="12.5" style="50" customWidth="1"/>
    <col min="52" max="52" width="12.5" style="22" customWidth="1"/>
    <col min="53" max="53" width="12.5" style="51" customWidth="1"/>
    <col min="54" max="54" width="12.5" style="22" customWidth="1"/>
    <col min="55" max="55" width="16" style="22" bestFit="1" customWidth="1"/>
    <col min="56" max="56" width="22.83203125" bestFit="1" customWidth="1"/>
    <col min="57" max="57" width="22.83203125" customWidth="1"/>
    <col min="64" max="64" width="22" style="27" hidden="1" customWidth="1"/>
    <col min="65" max="65" width="11.5" style="27" hidden="1" customWidth="1"/>
    <col min="66" max="66" width="20" style="27" hidden="1" customWidth="1"/>
    <col min="67" max="67" width="11.5" style="27" hidden="1" customWidth="1"/>
    <col min="68" max="68" width="24.6640625" style="27" hidden="1" customWidth="1"/>
    <col min="69" max="69" width="11.5" style="27" hidden="1" customWidth="1"/>
    <col min="70" max="70" width="19" style="27" hidden="1" customWidth="1"/>
    <col min="71" max="71" width="11.5" customWidth="1"/>
  </cols>
  <sheetData>
    <row r="1" spans="2:16" ht="15.5" customHeight="1" x14ac:dyDescent="0.2"/>
    <row r="2" spans="2:16" ht="20.5" customHeight="1" thickBot="1" x14ac:dyDescent="0.25">
      <c r="C2" s="1"/>
      <c r="D2" s="1"/>
      <c r="E2" s="1"/>
      <c r="F2" s="43"/>
      <c r="G2" s="1"/>
      <c r="H2" s="46"/>
      <c r="I2" s="1"/>
      <c r="J2" s="1"/>
      <c r="K2" s="1"/>
      <c r="L2" s="1"/>
      <c r="M2" s="1"/>
      <c r="N2" s="1"/>
      <c r="O2" s="1"/>
      <c r="P2" s="1"/>
    </row>
    <row r="3" spans="2:16" ht="21" customHeight="1" thickBot="1" x14ac:dyDescent="0.25">
      <c r="B3" s="152"/>
      <c r="C3" s="153"/>
      <c r="D3" s="153"/>
      <c r="E3" s="153"/>
      <c r="F3" s="154"/>
      <c r="G3" s="153"/>
      <c r="H3" s="155"/>
      <c r="I3" s="156"/>
    </row>
    <row r="4" spans="2:16" ht="20" thickBot="1" x14ac:dyDescent="0.3">
      <c r="B4" s="157"/>
      <c r="C4" s="98" t="s">
        <v>62</v>
      </c>
      <c r="D4" s="144"/>
      <c r="E4" s="144"/>
      <c r="F4" s="43"/>
      <c r="G4" s="1"/>
      <c r="H4" s="46"/>
      <c r="I4" s="158"/>
    </row>
    <row r="5" spans="2:16" ht="16" x14ac:dyDescent="0.2">
      <c r="B5" s="157"/>
      <c r="C5" s="166" t="s">
        <v>54</v>
      </c>
      <c r="D5" s="145" t="s">
        <v>55</v>
      </c>
      <c r="E5" s="164" t="s">
        <v>4</v>
      </c>
      <c r="F5" s="43"/>
      <c r="G5" s="1"/>
      <c r="H5" s="46"/>
      <c r="I5" s="158"/>
    </row>
    <row r="6" spans="2:16" ht="16" thickBot="1" x14ac:dyDescent="0.25">
      <c r="B6" s="157"/>
      <c r="C6" s="167">
        <v>0</v>
      </c>
      <c r="D6" s="3">
        <v>0</v>
      </c>
      <c r="E6" s="165">
        <f>(C6*D6*0.0333)+D6</f>
        <v>0</v>
      </c>
      <c r="F6" s="43"/>
      <c r="G6" s="1"/>
      <c r="H6" s="46"/>
      <c r="I6" s="158"/>
    </row>
    <row r="7" spans="2:16" x14ac:dyDescent="0.2">
      <c r="B7" s="157"/>
      <c r="C7" s="1"/>
      <c r="D7" s="1"/>
      <c r="E7" s="1"/>
      <c r="F7" s="43"/>
      <c r="G7" s="1"/>
      <c r="H7" s="46"/>
      <c r="I7" s="158"/>
    </row>
    <row r="8" spans="2:16" ht="16" thickBot="1" x14ac:dyDescent="0.25">
      <c r="B8" s="157"/>
      <c r="C8" s="1"/>
      <c r="D8" s="1"/>
      <c r="E8" s="1"/>
      <c r="F8" s="43"/>
      <c r="G8" s="1"/>
      <c r="H8" s="46"/>
      <c r="I8" s="158"/>
      <c r="J8" s="1"/>
      <c r="K8" s="1"/>
      <c r="L8" s="1"/>
      <c r="M8" s="1"/>
      <c r="N8" s="1"/>
      <c r="O8" s="1"/>
      <c r="P8" s="1"/>
    </row>
    <row r="9" spans="2:16" ht="20" thickBot="1" x14ac:dyDescent="0.3">
      <c r="B9" s="157"/>
      <c r="C9" s="215" t="s">
        <v>65</v>
      </c>
      <c r="D9" s="96" t="s">
        <v>52</v>
      </c>
      <c r="E9" s="216" t="s">
        <v>66</v>
      </c>
      <c r="F9" s="96" t="s">
        <v>52</v>
      </c>
      <c r="G9" s="216" t="s">
        <v>67</v>
      </c>
      <c r="H9" s="97" t="s">
        <v>52</v>
      </c>
      <c r="I9" s="158"/>
      <c r="J9" s="1"/>
      <c r="K9" s="37" t="s">
        <v>4</v>
      </c>
      <c r="L9" s="37"/>
      <c r="M9" s="1"/>
      <c r="N9" s="1"/>
      <c r="O9" s="1"/>
      <c r="P9" s="1"/>
    </row>
    <row r="10" spans="2:16" ht="16" x14ac:dyDescent="0.2">
      <c r="B10" s="157"/>
      <c r="C10" s="217" t="s">
        <v>92</v>
      </c>
      <c r="D10" s="146">
        <f>'Block 1'!J60</f>
        <v>0</v>
      </c>
      <c r="E10" s="220" t="s">
        <v>93</v>
      </c>
      <c r="F10" s="146">
        <f>'Block 1'!BC60</f>
        <v>0</v>
      </c>
      <c r="G10" s="220" t="s">
        <v>94</v>
      </c>
      <c r="H10" s="147">
        <f>'Block 1'!Y60</f>
        <v>0</v>
      </c>
      <c r="I10" s="158"/>
      <c r="J10" s="1"/>
      <c r="K10" s="38"/>
      <c r="L10" s="38"/>
      <c r="M10" s="2"/>
      <c r="N10" s="2"/>
      <c r="O10" s="1"/>
      <c r="P10" s="1"/>
    </row>
    <row r="11" spans="2:16" ht="16" x14ac:dyDescent="0.2">
      <c r="B11" s="157"/>
      <c r="C11" s="168" t="s">
        <v>71</v>
      </c>
      <c r="D11" s="148">
        <f>D10*0.9</f>
        <v>0</v>
      </c>
      <c r="E11" s="169" t="s">
        <v>72</v>
      </c>
      <c r="F11" s="148">
        <f>F10*0.925</f>
        <v>0</v>
      </c>
      <c r="G11" s="169" t="s">
        <v>98</v>
      </c>
      <c r="H11" s="149">
        <f>0.93*H10</f>
        <v>0</v>
      </c>
      <c r="I11" s="158"/>
      <c r="M11" s="2"/>
      <c r="N11" s="2"/>
      <c r="O11" s="1"/>
      <c r="P11" s="1"/>
    </row>
    <row r="12" spans="2:16" ht="16" x14ac:dyDescent="0.2">
      <c r="B12" s="157"/>
      <c r="C12" s="218" t="s">
        <v>74</v>
      </c>
      <c r="D12" s="146">
        <f>D10*0.85</f>
        <v>0</v>
      </c>
      <c r="E12" s="221" t="s">
        <v>75</v>
      </c>
      <c r="F12" s="146">
        <f>F10*0.9</f>
        <v>0</v>
      </c>
      <c r="G12" s="221" t="s">
        <v>97</v>
      </c>
      <c r="H12" s="147">
        <f>0.85*H10</f>
        <v>0</v>
      </c>
      <c r="I12" s="158"/>
      <c r="M12" s="1"/>
      <c r="N12" s="1"/>
      <c r="O12" s="1"/>
      <c r="P12" s="1"/>
    </row>
    <row r="13" spans="2:16" ht="17" thickBot="1" x14ac:dyDescent="0.25">
      <c r="B13" s="157"/>
      <c r="C13" s="219" t="s">
        <v>95</v>
      </c>
      <c r="D13" s="150">
        <f>D10*0.875</f>
        <v>0</v>
      </c>
      <c r="E13" s="222" t="s">
        <v>99</v>
      </c>
      <c r="F13" s="150">
        <f>0.9*F10</f>
        <v>0</v>
      </c>
      <c r="G13" s="222" t="s">
        <v>102</v>
      </c>
      <c r="H13" s="151" t="s">
        <v>3</v>
      </c>
      <c r="I13" s="158"/>
      <c r="J13" s="1"/>
      <c r="K13" s="1"/>
      <c r="L13" s="1"/>
      <c r="M13" s="1"/>
      <c r="N13" s="1"/>
      <c r="O13" s="1"/>
      <c r="P13" s="1"/>
    </row>
    <row r="14" spans="2:16" ht="24" customHeight="1" thickBot="1" x14ac:dyDescent="0.25">
      <c r="B14" s="159"/>
      <c r="C14" s="160"/>
      <c r="D14" s="160"/>
      <c r="E14" s="160"/>
      <c r="F14" s="161"/>
      <c r="G14" s="160"/>
      <c r="H14" s="162"/>
      <c r="I14" s="163"/>
      <c r="J14" s="1"/>
      <c r="K14" s="1"/>
      <c r="L14" s="1"/>
      <c r="M14" s="1"/>
      <c r="N14" s="1"/>
      <c r="O14" s="1"/>
      <c r="P14" s="1"/>
    </row>
    <row r="15" spans="2:16" ht="42.5" customHeight="1" thickBot="1" x14ac:dyDescent="0.25">
      <c r="C15" s="1"/>
      <c r="D15" s="1"/>
      <c r="E15" s="1"/>
      <c r="F15" s="43"/>
      <c r="G15" s="1"/>
      <c r="H15" s="46"/>
      <c r="I15" s="1"/>
      <c r="J15" s="1"/>
      <c r="K15" s="1"/>
      <c r="L15" s="1"/>
      <c r="M15" s="1"/>
      <c r="N15" s="1"/>
      <c r="O15" s="1"/>
      <c r="P15" s="1"/>
    </row>
    <row r="16" spans="2:16" ht="25" thickBot="1" x14ac:dyDescent="0.25">
      <c r="C16" s="95" t="s">
        <v>8</v>
      </c>
      <c r="D16" s="1"/>
      <c r="E16" s="1"/>
      <c r="F16" s="43"/>
      <c r="G16" s="1"/>
      <c r="H16" s="46"/>
      <c r="I16" s="1"/>
      <c r="J16" s="1"/>
      <c r="K16" s="1"/>
      <c r="L16" s="1"/>
      <c r="M16" s="1"/>
      <c r="N16" s="1"/>
      <c r="O16" s="1"/>
      <c r="P16" s="1"/>
    </row>
    <row r="17" spans="3:70" ht="20" thickBot="1" x14ac:dyDescent="0.3">
      <c r="C17" s="188" t="s">
        <v>108</v>
      </c>
      <c r="D17" s="299" t="s">
        <v>128</v>
      </c>
      <c r="E17" s="299" t="s">
        <v>54</v>
      </c>
      <c r="F17" s="308" t="s">
        <v>27</v>
      </c>
      <c r="G17" s="308"/>
      <c r="H17" s="309"/>
      <c r="I17" s="299" t="s">
        <v>5</v>
      </c>
      <c r="J17" s="299" t="s">
        <v>129</v>
      </c>
      <c r="K17" s="299" t="s">
        <v>7</v>
      </c>
      <c r="L17" s="298" t="s">
        <v>63</v>
      </c>
      <c r="M17" s="310" t="s">
        <v>6</v>
      </c>
      <c r="N17" s="308"/>
      <c r="O17" s="308"/>
      <c r="P17" s="311"/>
      <c r="Q17" s="23"/>
      <c r="R17" s="142" t="s">
        <v>113</v>
      </c>
      <c r="S17" s="299" t="s">
        <v>128</v>
      </c>
      <c r="T17" s="299" t="s">
        <v>54</v>
      </c>
      <c r="U17" s="308" t="s">
        <v>27</v>
      </c>
      <c r="V17" s="308"/>
      <c r="W17" s="309"/>
      <c r="X17" s="299" t="s">
        <v>5</v>
      </c>
      <c r="Y17" s="299" t="s">
        <v>129</v>
      </c>
      <c r="Z17" s="299" t="s">
        <v>7</v>
      </c>
      <c r="AA17" s="298" t="s">
        <v>63</v>
      </c>
      <c r="AB17" s="310" t="s">
        <v>6</v>
      </c>
      <c r="AC17" s="308"/>
      <c r="AD17" s="308"/>
      <c r="AE17" s="311"/>
      <c r="AF17" s="23"/>
      <c r="AG17" s="94" t="s">
        <v>118</v>
      </c>
      <c r="AH17" s="299" t="s">
        <v>128</v>
      </c>
      <c r="AI17" s="299" t="s">
        <v>54</v>
      </c>
      <c r="AJ17" s="308" t="s">
        <v>27</v>
      </c>
      <c r="AK17" s="308"/>
      <c r="AL17" s="309"/>
      <c r="AM17" s="299" t="s">
        <v>5</v>
      </c>
      <c r="AN17" s="299" t="s">
        <v>129</v>
      </c>
      <c r="AO17" s="299" t="s">
        <v>7</v>
      </c>
      <c r="AP17" s="298" t="s">
        <v>63</v>
      </c>
      <c r="AQ17" s="310" t="s">
        <v>6</v>
      </c>
      <c r="AR17" s="308"/>
      <c r="AS17" s="308"/>
      <c r="AT17" s="311"/>
      <c r="AU17" s="26"/>
      <c r="AV17" s="142" t="s">
        <v>123</v>
      </c>
      <c r="AW17" s="299" t="s">
        <v>128</v>
      </c>
      <c r="AX17" s="299" t="s">
        <v>54</v>
      </c>
      <c r="AY17" s="308" t="s">
        <v>27</v>
      </c>
      <c r="AZ17" s="308"/>
      <c r="BA17" s="309"/>
      <c r="BB17" s="299" t="s">
        <v>5</v>
      </c>
      <c r="BC17" s="299" t="s">
        <v>129</v>
      </c>
      <c r="BD17" s="299" t="s">
        <v>7</v>
      </c>
      <c r="BE17" s="298" t="s">
        <v>63</v>
      </c>
      <c r="BF17" s="310" t="s">
        <v>6</v>
      </c>
      <c r="BG17" s="308"/>
      <c r="BH17" s="308"/>
      <c r="BI17" s="311"/>
      <c r="BL17" s="27" t="s">
        <v>68</v>
      </c>
      <c r="BN17" s="27" t="s">
        <v>15</v>
      </c>
      <c r="BP17" s="27" t="s">
        <v>69</v>
      </c>
      <c r="BR17" s="27" t="s">
        <v>70</v>
      </c>
    </row>
    <row r="18" spans="3:70" ht="16" x14ac:dyDescent="0.2">
      <c r="C18" s="191" t="s">
        <v>92</v>
      </c>
      <c r="D18" s="119">
        <v>1</v>
      </c>
      <c r="E18" s="119">
        <v>1</v>
      </c>
      <c r="F18" s="30">
        <f>(0.9*D10)-5</f>
        <v>-5</v>
      </c>
      <c r="G18" s="171" t="s">
        <v>3</v>
      </c>
      <c r="H18" s="31">
        <f>(0.9*D10)+5</f>
        <v>5</v>
      </c>
      <c r="I18" s="32">
        <v>8</v>
      </c>
      <c r="J18" s="119" t="s">
        <v>58</v>
      </c>
      <c r="K18" s="119"/>
      <c r="L18" s="180"/>
      <c r="M18" s="318"/>
      <c r="N18" s="319"/>
      <c r="O18" s="319"/>
      <c r="P18" s="333"/>
      <c r="Q18" s="24"/>
      <c r="R18" s="7" t="s">
        <v>94</v>
      </c>
      <c r="S18" s="8">
        <v>1</v>
      </c>
      <c r="T18" s="8">
        <v>1</v>
      </c>
      <c r="U18" s="30">
        <f>(0.86*H10)-5</f>
        <v>-5</v>
      </c>
      <c r="V18" s="5" t="s">
        <v>3</v>
      </c>
      <c r="W18" s="31">
        <f>(0.86*H10)+5</f>
        <v>5</v>
      </c>
      <c r="X18" s="32">
        <v>7</v>
      </c>
      <c r="Y18" s="8" t="s">
        <v>37</v>
      </c>
      <c r="Z18" s="8"/>
      <c r="AA18" s="180"/>
      <c r="AB18" s="318"/>
      <c r="AC18" s="319"/>
      <c r="AD18" s="319"/>
      <c r="AE18" s="320"/>
      <c r="AF18" s="24"/>
      <c r="AG18" s="7" t="s">
        <v>95</v>
      </c>
      <c r="AH18" s="8">
        <v>3</v>
      </c>
      <c r="AI18" s="8">
        <v>7</v>
      </c>
      <c r="AJ18" s="30">
        <f>(0.7*D13)-5</f>
        <v>-5</v>
      </c>
      <c r="AK18" s="5" t="s">
        <v>3</v>
      </c>
      <c r="AL18" s="31">
        <f>(0.7*D13)+5</f>
        <v>5</v>
      </c>
      <c r="AM18" s="32" t="s">
        <v>28</v>
      </c>
      <c r="AN18" s="8" t="s">
        <v>58</v>
      </c>
      <c r="AO18" s="8"/>
      <c r="AP18" s="180"/>
      <c r="AQ18" s="318"/>
      <c r="AR18" s="319"/>
      <c r="AS18" s="319"/>
      <c r="AT18" s="320"/>
      <c r="AU18" s="25"/>
      <c r="AV18" s="7" t="s">
        <v>93</v>
      </c>
      <c r="AW18" s="8">
        <v>1</v>
      </c>
      <c r="AX18" s="8">
        <v>1</v>
      </c>
      <c r="AY18" s="30">
        <f>(0.86*F10)-5</f>
        <v>-5</v>
      </c>
      <c r="AZ18" s="5" t="s">
        <v>3</v>
      </c>
      <c r="BA18" s="31">
        <f>(0.86*F10)+5</f>
        <v>5</v>
      </c>
      <c r="BB18" s="32">
        <v>7</v>
      </c>
      <c r="BC18" s="8" t="s">
        <v>57</v>
      </c>
      <c r="BD18" s="8"/>
      <c r="BE18" s="180"/>
      <c r="BF18" s="318"/>
      <c r="BG18" s="319"/>
      <c r="BH18" s="319"/>
      <c r="BI18" s="320"/>
      <c r="BL18" s="27" t="s">
        <v>71</v>
      </c>
      <c r="BN18" s="27" t="s">
        <v>16</v>
      </c>
      <c r="BP18" s="27" t="s">
        <v>72</v>
      </c>
      <c r="BR18" s="27" t="s">
        <v>73</v>
      </c>
    </row>
    <row r="19" spans="3:70" ht="17" thickBot="1" x14ac:dyDescent="0.25">
      <c r="C19" s="191" t="s">
        <v>92</v>
      </c>
      <c r="D19" s="119">
        <v>4</v>
      </c>
      <c r="E19" s="119">
        <v>6</v>
      </c>
      <c r="F19" s="30">
        <f>(0.72*D10)-5</f>
        <v>-5</v>
      </c>
      <c r="G19" s="171" t="s">
        <v>3</v>
      </c>
      <c r="H19" s="31">
        <f>(0.72*D10)+5</f>
        <v>5</v>
      </c>
      <c r="I19" s="32">
        <v>7</v>
      </c>
      <c r="J19" s="119" t="s">
        <v>58</v>
      </c>
      <c r="K19" s="119"/>
      <c r="L19" s="180"/>
      <c r="M19" s="312"/>
      <c r="N19" s="313"/>
      <c r="O19" s="313"/>
      <c r="P19" s="328"/>
      <c r="Q19" s="24"/>
      <c r="R19" s="7" t="s">
        <v>94</v>
      </c>
      <c r="S19" s="8">
        <v>4</v>
      </c>
      <c r="T19" s="8">
        <v>5</v>
      </c>
      <c r="U19" s="30">
        <f>(0.75*H10)-5</f>
        <v>-5</v>
      </c>
      <c r="V19" s="5" t="s">
        <v>3</v>
      </c>
      <c r="W19" s="31">
        <f>(0.75*H10)+5</f>
        <v>5</v>
      </c>
      <c r="X19" s="32">
        <v>7</v>
      </c>
      <c r="Y19" s="119" t="s">
        <v>37</v>
      </c>
      <c r="Z19" s="8"/>
      <c r="AA19" s="180"/>
      <c r="AB19" s="75"/>
      <c r="AC19" s="76"/>
      <c r="AD19" s="76"/>
      <c r="AE19" s="77"/>
      <c r="AF19" s="24"/>
      <c r="AG19" s="74"/>
      <c r="AH19" s="8"/>
      <c r="AI19" s="8"/>
      <c r="AJ19" s="30"/>
      <c r="AK19" s="5" t="s">
        <v>3</v>
      </c>
      <c r="AL19" s="31"/>
      <c r="AM19" s="32"/>
      <c r="AN19" s="8"/>
      <c r="AO19" s="8"/>
      <c r="AP19" s="180"/>
      <c r="AQ19" s="312"/>
      <c r="AR19" s="313"/>
      <c r="AS19" s="313"/>
      <c r="AT19" s="314"/>
      <c r="AU19" s="25"/>
      <c r="AV19" s="7" t="s">
        <v>93</v>
      </c>
      <c r="AW19" s="8">
        <v>4</v>
      </c>
      <c r="AX19" s="8">
        <v>6</v>
      </c>
      <c r="AY19" s="30">
        <f>(0.72*F10)-5</f>
        <v>-5</v>
      </c>
      <c r="AZ19" s="5" t="s">
        <v>3</v>
      </c>
      <c r="BA19" s="31">
        <f>(0.72*F10)+5</f>
        <v>5</v>
      </c>
      <c r="BB19" s="32">
        <v>7</v>
      </c>
      <c r="BC19" s="8" t="s">
        <v>57</v>
      </c>
      <c r="BD19" s="8"/>
      <c r="BE19" s="180"/>
      <c r="BF19" s="312"/>
      <c r="BG19" s="313"/>
      <c r="BH19" s="313"/>
      <c r="BI19" s="314"/>
      <c r="BL19" s="27" t="s">
        <v>74</v>
      </c>
      <c r="BN19" s="27" t="s">
        <v>17</v>
      </c>
      <c r="BP19" s="27" t="s">
        <v>75</v>
      </c>
      <c r="BR19" s="27" t="s">
        <v>76</v>
      </c>
    </row>
    <row r="20" spans="3:70" ht="17" thickBot="1" x14ac:dyDescent="0.25">
      <c r="C20" s="192" t="s">
        <v>93</v>
      </c>
      <c r="D20" s="121">
        <v>3</v>
      </c>
      <c r="E20" s="121">
        <v>8</v>
      </c>
      <c r="F20" s="34">
        <f>(0.71*F10)-5</f>
        <v>-5</v>
      </c>
      <c r="G20" s="170" t="s">
        <v>3</v>
      </c>
      <c r="H20" s="35">
        <f>(0.71*F10)+5</f>
        <v>5</v>
      </c>
      <c r="I20" s="29" t="s">
        <v>28</v>
      </c>
      <c r="J20" s="121" t="s">
        <v>57</v>
      </c>
      <c r="K20" s="121"/>
      <c r="L20" s="181"/>
      <c r="M20" s="304"/>
      <c r="N20" s="305"/>
      <c r="O20" s="305"/>
      <c r="P20" s="329"/>
      <c r="Q20" s="24"/>
      <c r="R20" s="64" t="s">
        <v>69</v>
      </c>
      <c r="S20" s="10">
        <v>2</v>
      </c>
      <c r="T20" s="10">
        <v>4</v>
      </c>
      <c r="U20" s="44">
        <f>IF(R20="3ct. WK-Bankdrücken",(F11*0.76)-5,(F12*0.76)-5)</f>
        <v>-5</v>
      </c>
      <c r="V20" s="4" t="s">
        <v>3</v>
      </c>
      <c r="W20" s="35">
        <f>IF(R20="3ct. WK-Bankdrücken",(F11*0.76)+5,(F12*0.76)+5)</f>
        <v>5</v>
      </c>
      <c r="X20" s="29" t="s">
        <v>29</v>
      </c>
      <c r="Y20" s="121" t="s">
        <v>57</v>
      </c>
      <c r="Z20" s="10"/>
      <c r="AA20" s="181"/>
      <c r="AB20" s="304"/>
      <c r="AC20" s="305"/>
      <c r="AD20" s="305"/>
      <c r="AE20" s="306"/>
      <c r="AF20" s="24"/>
      <c r="AG20" s="64" t="s">
        <v>70</v>
      </c>
      <c r="AH20" s="10">
        <v>3</v>
      </c>
      <c r="AI20" s="10">
        <v>5</v>
      </c>
      <c r="AJ20" s="44">
        <f>IF(AG20="1ct. WK-Kreuzheben",((0.75*H12)-5),((0.75*H11)-5))</f>
        <v>-5</v>
      </c>
      <c r="AK20" s="4" t="s">
        <v>3</v>
      </c>
      <c r="AL20" s="35">
        <f>IF(AG20="1ct. WK-Kreuzheben",((0.75*H12)+5),((0.75*H11)+5))</f>
        <v>5</v>
      </c>
      <c r="AM20" s="29">
        <v>7</v>
      </c>
      <c r="AN20" s="10" t="s">
        <v>37</v>
      </c>
      <c r="AO20" s="10"/>
      <c r="AP20" s="181"/>
      <c r="AQ20" s="304"/>
      <c r="AR20" s="305"/>
      <c r="AS20" s="305"/>
      <c r="AT20" s="306"/>
      <c r="AU20" s="25"/>
      <c r="AV20" s="9" t="s">
        <v>99</v>
      </c>
      <c r="AW20" s="10">
        <v>2</v>
      </c>
      <c r="AX20" s="10">
        <v>6</v>
      </c>
      <c r="AY20" s="44">
        <f>(0.7*F13)-5</f>
        <v>-5</v>
      </c>
      <c r="AZ20" s="4" t="s">
        <v>3</v>
      </c>
      <c r="BA20" s="35">
        <f>(0.7*F13)+5</f>
        <v>5</v>
      </c>
      <c r="BB20" s="29" t="s">
        <v>29</v>
      </c>
      <c r="BC20" s="10" t="s">
        <v>57</v>
      </c>
      <c r="BD20" s="10"/>
      <c r="BE20" s="181"/>
      <c r="BF20" s="304"/>
      <c r="BG20" s="305"/>
      <c r="BH20" s="305"/>
      <c r="BI20" s="306"/>
      <c r="BL20" s="27" t="s">
        <v>77</v>
      </c>
      <c r="BN20" s="27" t="s">
        <v>78</v>
      </c>
      <c r="BP20" s="27" t="s">
        <v>79</v>
      </c>
      <c r="BR20" s="27" t="s">
        <v>80</v>
      </c>
    </row>
    <row r="21" spans="3:70" ht="17" thickBot="1" x14ac:dyDescent="0.25">
      <c r="C21" s="193" t="s">
        <v>79</v>
      </c>
      <c r="D21" s="119">
        <v>2</v>
      </c>
      <c r="E21" s="119">
        <v>10</v>
      </c>
      <c r="F21" s="30"/>
      <c r="G21" s="171" t="s">
        <v>3</v>
      </c>
      <c r="H21" s="31"/>
      <c r="I21" s="32" t="s">
        <v>28</v>
      </c>
      <c r="J21" s="119"/>
      <c r="K21" s="119"/>
      <c r="L21" s="180"/>
      <c r="M21" s="312"/>
      <c r="N21" s="313"/>
      <c r="O21" s="313"/>
      <c r="P21" s="328"/>
      <c r="Q21" s="24"/>
      <c r="R21" s="65" t="s">
        <v>68</v>
      </c>
      <c r="S21" s="8">
        <v>3</v>
      </c>
      <c r="T21" s="8">
        <v>4</v>
      </c>
      <c r="U21" s="30">
        <f>IF(R21="2ct. WK-Kniebeuge",(D11*0.76)-5,(D12*0.76)-5)</f>
        <v>-5</v>
      </c>
      <c r="V21" s="5" t="s">
        <v>3</v>
      </c>
      <c r="W21" s="31">
        <f>IF(R21="2ct. WK-Kniebeuge",(D11*0.76)+5,(D12*0.76)+5)</f>
        <v>5</v>
      </c>
      <c r="X21" s="32" t="s">
        <v>29</v>
      </c>
      <c r="Y21" s="8" t="s">
        <v>58</v>
      </c>
      <c r="Z21" s="8"/>
      <c r="AA21" s="180"/>
      <c r="AB21" s="312" t="s">
        <v>30</v>
      </c>
      <c r="AC21" s="313"/>
      <c r="AD21" s="313"/>
      <c r="AE21" s="314"/>
      <c r="AF21" s="24"/>
      <c r="AG21" s="65" t="s">
        <v>77</v>
      </c>
      <c r="AH21" s="8">
        <v>3</v>
      </c>
      <c r="AI21" s="28" t="s">
        <v>38</v>
      </c>
      <c r="AJ21" s="30"/>
      <c r="AK21" s="5" t="s">
        <v>3</v>
      </c>
      <c r="AL21" s="31"/>
      <c r="AM21" s="32" t="s">
        <v>28</v>
      </c>
      <c r="AN21" s="8"/>
      <c r="AO21" s="8"/>
      <c r="AP21" s="180"/>
      <c r="AQ21" s="312"/>
      <c r="AR21" s="313"/>
      <c r="AS21" s="313"/>
      <c r="AT21" s="314"/>
      <c r="AU21" s="25"/>
      <c r="AV21" s="65" t="s">
        <v>15</v>
      </c>
      <c r="AW21" s="8">
        <v>3</v>
      </c>
      <c r="AX21" s="291" t="s">
        <v>38</v>
      </c>
      <c r="AY21" s="33"/>
      <c r="AZ21" s="5" t="s">
        <v>3</v>
      </c>
      <c r="BA21" s="31"/>
      <c r="BB21" s="32" t="s">
        <v>28</v>
      </c>
      <c r="BC21" s="8"/>
      <c r="BD21" s="8"/>
      <c r="BE21" s="180"/>
      <c r="BF21" s="312"/>
      <c r="BG21" s="313"/>
      <c r="BH21" s="313"/>
      <c r="BI21" s="314"/>
      <c r="BL21" s="27" t="s">
        <v>60</v>
      </c>
      <c r="BN21" s="27" t="s">
        <v>0</v>
      </c>
      <c r="BP21" s="27" t="s">
        <v>23</v>
      </c>
      <c r="BR21" s="27" t="s">
        <v>15</v>
      </c>
    </row>
    <row r="22" spans="3:70" ht="17" thickBot="1" x14ac:dyDescent="0.25">
      <c r="C22" s="194" t="s">
        <v>78</v>
      </c>
      <c r="D22" s="121">
        <v>3</v>
      </c>
      <c r="E22" s="121">
        <f>IF(OR(C22="Dips",C22="LH Schulterdrücken"),6,8)</f>
        <v>8</v>
      </c>
      <c r="F22" s="34"/>
      <c r="G22" s="170" t="s">
        <v>3</v>
      </c>
      <c r="H22" s="35"/>
      <c r="I22" s="29" t="s">
        <v>28</v>
      </c>
      <c r="J22" s="121"/>
      <c r="K22" s="121"/>
      <c r="L22" s="181"/>
      <c r="M22" s="304"/>
      <c r="N22" s="305"/>
      <c r="O22" s="305"/>
      <c r="P22" s="329"/>
      <c r="Q22" s="24"/>
      <c r="R22" s="64" t="s">
        <v>78</v>
      </c>
      <c r="S22" s="10">
        <v>2</v>
      </c>
      <c r="T22" s="10" t="str">
        <f>IF(OR(R22="Dips",R22="Military Press"),"6-8","8-10")</f>
        <v>8-10</v>
      </c>
      <c r="U22" s="44"/>
      <c r="V22" s="4" t="s">
        <v>3</v>
      </c>
      <c r="W22" s="35"/>
      <c r="X22" s="29" t="s">
        <v>28</v>
      </c>
      <c r="Y22" s="10"/>
      <c r="Z22" s="10"/>
      <c r="AA22" s="181"/>
      <c r="AB22" s="304"/>
      <c r="AC22" s="305"/>
      <c r="AD22" s="305"/>
      <c r="AE22" s="306"/>
      <c r="AF22" s="24"/>
      <c r="AG22" s="9" t="s">
        <v>24</v>
      </c>
      <c r="AH22" s="10">
        <v>3</v>
      </c>
      <c r="AI22" s="10">
        <v>8</v>
      </c>
      <c r="AJ22" s="44"/>
      <c r="AK22" s="4" t="s">
        <v>3</v>
      </c>
      <c r="AL22" s="35"/>
      <c r="AM22" s="29" t="s">
        <v>28</v>
      </c>
      <c r="AN22" s="10"/>
      <c r="AO22" s="10"/>
      <c r="AP22" s="181"/>
      <c r="AQ22" s="304"/>
      <c r="AR22" s="305"/>
      <c r="AS22" s="305"/>
      <c r="AT22" s="306"/>
      <c r="AU22" s="25"/>
      <c r="AV22" s="64" t="s">
        <v>87</v>
      </c>
      <c r="AW22" s="10">
        <v>3</v>
      </c>
      <c r="AX22" s="29" t="s">
        <v>38</v>
      </c>
      <c r="AY22" s="44"/>
      <c r="AZ22" s="4" t="s">
        <v>3</v>
      </c>
      <c r="BA22" s="35"/>
      <c r="BB22" s="29" t="s">
        <v>28</v>
      </c>
      <c r="BC22" s="10"/>
      <c r="BD22" s="10"/>
      <c r="BE22" s="181"/>
      <c r="BF22" s="304"/>
      <c r="BG22" s="305"/>
      <c r="BH22" s="305"/>
      <c r="BI22" s="306"/>
      <c r="BL22" s="27" t="s">
        <v>61</v>
      </c>
      <c r="BN22" s="27" t="s">
        <v>81</v>
      </c>
      <c r="BP22" s="27" t="s">
        <v>21</v>
      </c>
      <c r="BR22" s="27" t="s">
        <v>25</v>
      </c>
    </row>
    <row r="23" spans="3:70" ht="17" thickBot="1" x14ac:dyDescent="0.25">
      <c r="C23" s="195" t="s">
        <v>77</v>
      </c>
      <c r="D23" s="119">
        <v>3</v>
      </c>
      <c r="E23" s="279" t="str">
        <f>IF(OR(C23="Pendlay Rudern"),"7","8-10")</f>
        <v>8-10</v>
      </c>
      <c r="F23" s="30"/>
      <c r="G23" s="171" t="s">
        <v>3</v>
      </c>
      <c r="H23" s="31"/>
      <c r="I23" s="32" t="s">
        <v>28</v>
      </c>
      <c r="J23" s="119"/>
      <c r="K23" s="119"/>
      <c r="L23" s="180"/>
      <c r="M23" s="312"/>
      <c r="N23" s="313"/>
      <c r="O23" s="313"/>
      <c r="P23" s="328"/>
      <c r="Q23" s="24"/>
      <c r="R23" s="7" t="s">
        <v>19</v>
      </c>
      <c r="S23" s="32" t="s">
        <v>34</v>
      </c>
      <c r="T23" s="32" t="s">
        <v>35</v>
      </c>
      <c r="U23" s="30"/>
      <c r="V23" s="5" t="s">
        <v>3</v>
      </c>
      <c r="W23" s="31"/>
      <c r="X23" s="32" t="s">
        <v>28</v>
      </c>
      <c r="Y23" s="8"/>
      <c r="Z23" s="8"/>
      <c r="AA23" s="180"/>
      <c r="AB23" s="312"/>
      <c r="AC23" s="313"/>
      <c r="AD23" s="313"/>
      <c r="AE23" s="314"/>
      <c r="AF23" s="24"/>
      <c r="AG23" s="7" t="s">
        <v>96</v>
      </c>
      <c r="AH23" s="8">
        <v>2</v>
      </c>
      <c r="AI23" s="8"/>
      <c r="AJ23" s="30"/>
      <c r="AK23" s="5" t="s">
        <v>3</v>
      </c>
      <c r="AL23" s="31"/>
      <c r="AM23" s="8"/>
      <c r="AN23" s="8"/>
      <c r="AO23" s="8"/>
      <c r="AP23" s="180"/>
      <c r="AQ23" s="312"/>
      <c r="AR23" s="313"/>
      <c r="AS23" s="313"/>
      <c r="AT23" s="314"/>
      <c r="AU23" s="25"/>
      <c r="AV23" s="112"/>
      <c r="AW23" s="113"/>
      <c r="AX23" s="113"/>
      <c r="AY23" s="111"/>
      <c r="AZ23" s="56"/>
      <c r="BA23" s="114"/>
      <c r="BB23" s="113"/>
      <c r="BC23" s="113"/>
      <c r="BD23" s="113"/>
      <c r="BE23" s="56"/>
      <c r="BF23" s="312"/>
      <c r="BG23" s="313"/>
      <c r="BH23" s="313"/>
      <c r="BI23" s="314"/>
      <c r="BL23" s="27" t="s">
        <v>82</v>
      </c>
      <c r="BN23" s="27" t="s">
        <v>83</v>
      </c>
      <c r="BP23" s="27" t="s">
        <v>22</v>
      </c>
      <c r="BR23" s="27" t="s">
        <v>16</v>
      </c>
    </row>
    <row r="24" spans="3:70" ht="17" thickBot="1" x14ac:dyDescent="0.25">
      <c r="C24" s="196" t="s">
        <v>96</v>
      </c>
      <c r="D24" s="197">
        <v>2</v>
      </c>
      <c r="E24" s="197"/>
      <c r="F24" s="198"/>
      <c r="G24" s="199" t="s">
        <v>3</v>
      </c>
      <c r="H24" s="200"/>
      <c r="I24" s="197"/>
      <c r="J24" s="197"/>
      <c r="K24" s="197"/>
      <c r="L24" s="201"/>
      <c r="M24" s="337"/>
      <c r="N24" s="338"/>
      <c r="O24" s="338"/>
      <c r="P24" s="339"/>
      <c r="Q24" s="24"/>
      <c r="R24" s="100" t="s">
        <v>20</v>
      </c>
      <c r="S24" s="109" t="s">
        <v>34</v>
      </c>
      <c r="T24" s="109" t="s">
        <v>35</v>
      </c>
      <c r="U24" s="102"/>
      <c r="V24" s="3" t="s">
        <v>3</v>
      </c>
      <c r="W24" s="103"/>
      <c r="X24" s="109" t="s">
        <v>28</v>
      </c>
      <c r="Y24" s="101"/>
      <c r="Z24" s="101"/>
      <c r="AA24" s="184"/>
      <c r="AB24" s="334"/>
      <c r="AC24" s="335"/>
      <c r="AD24" s="335"/>
      <c r="AE24" s="336"/>
      <c r="AF24" s="24"/>
      <c r="AG24" s="100"/>
      <c r="AH24" s="101"/>
      <c r="AI24" s="101"/>
      <c r="AJ24" s="102"/>
      <c r="AK24" s="3" t="s">
        <v>3</v>
      </c>
      <c r="AL24" s="103"/>
      <c r="AM24" s="101"/>
      <c r="AN24" s="101"/>
      <c r="AO24" s="101"/>
      <c r="AP24" s="184"/>
      <c r="AQ24" s="334"/>
      <c r="AR24" s="335"/>
      <c r="AS24" s="335"/>
      <c r="AT24" s="336"/>
      <c r="AU24" s="25"/>
      <c r="AV24" s="100"/>
      <c r="AW24" s="101"/>
      <c r="AX24" s="101"/>
      <c r="AY24" s="102"/>
      <c r="AZ24" s="3" t="s">
        <v>3</v>
      </c>
      <c r="BA24" s="103"/>
      <c r="BB24" s="101"/>
      <c r="BC24" s="101"/>
      <c r="BD24" s="101"/>
      <c r="BE24" s="184"/>
      <c r="BF24" s="334"/>
      <c r="BG24" s="335"/>
      <c r="BH24" s="335"/>
      <c r="BI24" s="336"/>
      <c r="BL24" s="27" t="s">
        <v>84</v>
      </c>
      <c r="BN24" s="27" t="s">
        <v>85</v>
      </c>
      <c r="BR24" s="27" t="s">
        <v>17</v>
      </c>
    </row>
    <row r="25" spans="3:70" ht="16" x14ac:dyDescent="0.2">
      <c r="Q25" s="24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L25" s="27" t="s">
        <v>1</v>
      </c>
      <c r="BN25" s="27" t="s">
        <v>86</v>
      </c>
    </row>
    <row r="26" spans="3:70" ht="17" thickBot="1" x14ac:dyDescent="0.25">
      <c r="C26" s="24"/>
      <c r="D26" s="24"/>
      <c r="E26" s="24"/>
      <c r="F26" s="87"/>
      <c r="G26" s="66"/>
      <c r="H26" s="88"/>
      <c r="I26" s="24"/>
      <c r="J26" s="24"/>
      <c r="K26" s="24"/>
      <c r="L26" s="24"/>
      <c r="M26" s="83"/>
      <c r="N26" s="83"/>
      <c r="O26" s="83"/>
      <c r="P26" s="83"/>
      <c r="BL26" s="27" t="s">
        <v>13</v>
      </c>
    </row>
    <row r="27" spans="3:70" ht="25" thickBot="1" x14ac:dyDescent="0.25">
      <c r="C27" s="95" t="s">
        <v>12</v>
      </c>
      <c r="D27" s="1"/>
      <c r="E27" s="1"/>
      <c r="F27" s="43"/>
      <c r="G27" s="1"/>
      <c r="H27" s="46"/>
      <c r="I27" s="1"/>
      <c r="J27" s="1"/>
      <c r="K27" s="1"/>
      <c r="L27" s="1"/>
      <c r="M27" s="1"/>
      <c r="N27" s="1"/>
      <c r="O27" s="1"/>
      <c r="P27" s="1"/>
    </row>
    <row r="28" spans="3:70" ht="20" thickBot="1" x14ac:dyDescent="0.3">
      <c r="C28" s="188" t="s">
        <v>109</v>
      </c>
      <c r="D28" s="299" t="s">
        <v>128</v>
      </c>
      <c r="E28" s="299" t="s">
        <v>54</v>
      </c>
      <c r="F28" s="308" t="s">
        <v>27</v>
      </c>
      <c r="G28" s="308"/>
      <c r="H28" s="309"/>
      <c r="I28" s="299" t="s">
        <v>5</v>
      </c>
      <c r="J28" s="299" t="s">
        <v>129</v>
      </c>
      <c r="K28" s="299" t="s">
        <v>7</v>
      </c>
      <c r="L28" s="298" t="s">
        <v>63</v>
      </c>
      <c r="M28" s="310" t="s">
        <v>6</v>
      </c>
      <c r="N28" s="308"/>
      <c r="O28" s="308"/>
      <c r="P28" s="311"/>
      <c r="R28" s="142" t="s">
        <v>114</v>
      </c>
      <c r="S28" s="299" t="s">
        <v>128</v>
      </c>
      <c r="T28" s="299" t="s">
        <v>54</v>
      </c>
      <c r="U28" s="308" t="s">
        <v>27</v>
      </c>
      <c r="V28" s="308"/>
      <c r="W28" s="309"/>
      <c r="X28" s="299" t="s">
        <v>5</v>
      </c>
      <c r="Y28" s="299" t="s">
        <v>129</v>
      </c>
      <c r="Z28" s="299" t="s">
        <v>7</v>
      </c>
      <c r="AA28" s="298" t="s">
        <v>63</v>
      </c>
      <c r="AB28" s="310" t="s">
        <v>6</v>
      </c>
      <c r="AC28" s="308"/>
      <c r="AD28" s="308"/>
      <c r="AE28" s="311"/>
      <c r="AG28" s="142" t="s">
        <v>119</v>
      </c>
      <c r="AH28" s="299" t="s">
        <v>128</v>
      </c>
      <c r="AI28" s="299" t="s">
        <v>54</v>
      </c>
      <c r="AJ28" s="308" t="s">
        <v>27</v>
      </c>
      <c r="AK28" s="308"/>
      <c r="AL28" s="309"/>
      <c r="AM28" s="299" t="s">
        <v>5</v>
      </c>
      <c r="AN28" s="299" t="s">
        <v>129</v>
      </c>
      <c r="AO28" s="299" t="s">
        <v>7</v>
      </c>
      <c r="AP28" s="298" t="s">
        <v>63</v>
      </c>
      <c r="AQ28" s="310" t="s">
        <v>6</v>
      </c>
      <c r="AR28" s="308"/>
      <c r="AS28" s="308"/>
      <c r="AT28" s="311"/>
      <c r="AU28" s="26"/>
      <c r="AV28" s="142" t="s">
        <v>124</v>
      </c>
      <c r="AW28" s="299" t="s">
        <v>128</v>
      </c>
      <c r="AX28" s="299" t="s">
        <v>54</v>
      </c>
      <c r="AY28" s="308" t="s">
        <v>27</v>
      </c>
      <c r="AZ28" s="308"/>
      <c r="BA28" s="309"/>
      <c r="BB28" s="299" t="s">
        <v>5</v>
      </c>
      <c r="BC28" s="299" t="s">
        <v>129</v>
      </c>
      <c r="BD28" s="299" t="s">
        <v>7</v>
      </c>
      <c r="BE28" s="298" t="s">
        <v>63</v>
      </c>
      <c r="BF28" s="310" t="s">
        <v>6</v>
      </c>
      <c r="BG28" s="308"/>
      <c r="BH28" s="308"/>
      <c r="BI28" s="311"/>
      <c r="BL28" s="27" t="s">
        <v>68</v>
      </c>
      <c r="BN28" s="27" t="s">
        <v>15</v>
      </c>
      <c r="BP28" s="27" t="s">
        <v>69</v>
      </c>
      <c r="BR28" s="27" t="s">
        <v>70</v>
      </c>
    </row>
    <row r="29" spans="3:70" ht="16" x14ac:dyDescent="0.2">
      <c r="C29" s="191" t="s">
        <v>92</v>
      </c>
      <c r="D29" s="8">
        <v>4</v>
      </c>
      <c r="E29" s="8">
        <v>5</v>
      </c>
      <c r="F29" s="30">
        <f>(0.78*D10)-5</f>
        <v>-5</v>
      </c>
      <c r="G29" s="5" t="s">
        <v>3</v>
      </c>
      <c r="H29" s="31">
        <f>(0.78*D10)+5</f>
        <v>5</v>
      </c>
      <c r="I29" s="8">
        <v>8</v>
      </c>
      <c r="J29" s="8" t="s">
        <v>58</v>
      </c>
      <c r="K29" s="8"/>
      <c r="L29" s="180"/>
      <c r="M29" s="318"/>
      <c r="N29" s="319"/>
      <c r="O29" s="319"/>
      <c r="P29" s="320"/>
      <c r="R29" s="118" t="s">
        <v>94</v>
      </c>
      <c r="S29" s="8">
        <v>4</v>
      </c>
      <c r="T29" s="8">
        <v>5</v>
      </c>
      <c r="U29" s="30">
        <f>(0.78*H10)-5</f>
        <v>-5</v>
      </c>
      <c r="V29" s="5" t="s">
        <v>3</v>
      </c>
      <c r="W29" s="31">
        <f>(0.78*H10)+5</f>
        <v>5</v>
      </c>
      <c r="X29" s="8">
        <v>8</v>
      </c>
      <c r="Y29" s="8" t="s">
        <v>37</v>
      </c>
      <c r="Z29" s="8"/>
      <c r="AA29" s="180"/>
      <c r="AB29" s="318"/>
      <c r="AC29" s="319"/>
      <c r="AD29" s="319"/>
      <c r="AE29" s="320"/>
      <c r="AG29" s="118" t="s">
        <v>95</v>
      </c>
      <c r="AH29" s="8">
        <v>1</v>
      </c>
      <c r="AI29" s="8">
        <v>1</v>
      </c>
      <c r="AJ29" s="30">
        <f>(0.9*D13)-5</f>
        <v>-5</v>
      </c>
      <c r="AK29" s="5" t="s">
        <v>3</v>
      </c>
      <c r="AL29" s="31">
        <f>(0.9*D13)+5</f>
        <v>5</v>
      </c>
      <c r="AM29" s="8">
        <v>8</v>
      </c>
      <c r="AN29" s="119" t="s">
        <v>58</v>
      </c>
      <c r="AO29" s="8"/>
      <c r="AP29" s="180"/>
      <c r="AQ29" s="318"/>
      <c r="AR29" s="319"/>
      <c r="AS29" s="319"/>
      <c r="AT29" s="320"/>
      <c r="AU29" s="25"/>
      <c r="AV29" s="118" t="s">
        <v>93</v>
      </c>
      <c r="AW29" s="8">
        <v>1</v>
      </c>
      <c r="AX29" s="8">
        <v>1</v>
      </c>
      <c r="AY29" s="30">
        <f>(0.9*F10)-5</f>
        <v>-5</v>
      </c>
      <c r="AZ29" s="5" t="s">
        <v>3</v>
      </c>
      <c r="BA29" s="31">
        <f>(0.9*F10)+5</f>
        <v>5</v>
      </c>
      <c r="BB29" s="8">
        <v>8</v>
      </c>
      <c r="BC29" s="119" t="s">
        <v>57</v>
      </c>
      <c r="BD29" s="8"/>
      <c r="BE29" s="180"/>
      <c r="BF29" s="318"/>
      <c r="BG29" s="319"/>
      <c r="BH29" s="319"/>
      <c r="BI29" s="320"/>
      <c r="BL29" s="27" t="s">
        <v>71</v>
      </c>
      <c r="BN29" s="27" t="s">
        <v>16</v>
      </c>
      <c r="BP29" s="27" t="s">
        <v>72</v>
      </c>
      <c r="BR29" s="27" t="s">
        <v>98</v>
      </c>
    </row>
    <row r="30" spans="3:70" ht="17" thickBot="1" x14ac:dyDescent="0.25">
      <c r="C30" s="7"/>
      <c r="D30" s="8"/>
      <c r="E30" s="8"/>
      <c r="F30" s="30"/>
      <c r="G30" s="5"/>
      <c r="H30" s="31"/>
      <c r="I30" s="8"/>
      <c r="J30" s="8"/>
      <c r="K30" s="8"/>
      <c r="L30" s="180"/>
      <c r="M30" s="312"/>
      <c r="N30" s="313"/>
      <c r="O30" s="313"/>
      <c r="P30" s="314"/>
      <c r="R30" s="7"/>
      <c r="S30" s="8"/>
      <c r="T30" s="8"/>
      <c r="U30" s="30"/>
      <c r="V30" s="5" t="s">
        <v>3</v>
      </c>
      <c r="W30" s="31"/>
      <c r="X30" s="8"/>
      <c r="Y30" s="8"/>
      <c r="Z30" s="8"/>
      <c r="AA30" s="180"/>
      <c r="AB30" s="312"/>
      <c r="AC30" s="313"/>
      <c r="AD30" s="313"/>
      <c r="AE30" s="314"/>
      <c r="AG30" s="7" t="s">
        <v>95</v>
      </c>
      <c r="AH30" s="8">
        <v>4</v>
      </c>
      <c r="AI30" s="8">
        <v>7</v>
      </c>
      <c r="AJ30" s="30">
        <f>(0.72*D13)-5</f>
        <v>-5</v>
      </c>
      <c r="AK30" s="5" t="s">
        <v>3</v>
      </c>
      <c r="AL30" s="31">
        <f>(0.72*D13)+5</f>
        <v>5</v>
      </c>
      <c r="AM30" s="8">
        <v>8</v>
      </c>
      <c r="AN30" s="119" t="s">
        <v>58</v>
      </c>
      <c r="AO30" s="8"/>
      <c r="AP30" s="180"/>
      <c r="AQ30" s="312"/>
      <c r="AR30" s="313"/>
      <c r="AS30" s="313"/>
      <c r="AT30" s="314"/>
      <c r="AU30" s="25"/>
      <c r="AV30" s="118" t="s">
        <v>93</v>
      </c>
      <c r="AW30" s="8">
        <v>4</v>
      </c>
      <c r="AX30" s="8">
        <v>5</v>
      </c>
      <c r="AY30" s="30">
        <f>(0.78*F10)-5</f>
        <v>-5</v>
      </c>
      <c r="AZ30" s="5" t="s">
        <v>3</v>
      </c>
      <c r="BA30" s="31">
        <f>(0.78*F10)+5</f>
        <v>5</v>
      </c>
      <c r="BB30" s="8">
        <v>8</v>
      </c>
      <c r="BC30" s="119" t="s">
        <v>57</v>
      </c>
      <c r="BD30" s="8"/>
      <c r="BE30" s="180"/>
      <c r="BF30" s="312"/>
      <c r="BG30" s="313"/>
      <c r="BH30" s="313"/>
      <c r="BI30" s="314"/>
      <c r="BL30" s="27" t="s">
        <v>74</v>
      </c>
      <c r="BN30" s="27" t="s">
        <v>17</v>
      </c>
      <c r="BP30" s="27" t="s">
        <v>75</v>
      </c>
      <c r="BR30" s="27" t="s">
        <v>97</v>
      </c>
    </row>
    <row r="31" spans="3:70" ht="17" thickBot="1" x14ac:dyDescent="0.25">
      <c r="C31" s="192" t="s">
        <v>93</v>
      </c>
      <c r="D31" s="10">
        <v>3</v>
      </c>
      <c r="E31" s="10">
        <v>8</v>
      </c>
      <c r="F31" s="34">
        <f>(0.73*F10)-5</f>
        <v>-5</v>
      </c>
      <c r="G31" s="4" t="s">
        <v>3</v>
      </c>
      <c r="H31" s="35">
        <f>(0.73*F10)+5</f>
        <v>5</v>
      </c>
      <c r="I31" s="10">
        <v>8</v>
      </c>
      <c r="J31" s="121" t="s">
        <v>57</v>
      </c>
      <c r="K31" s="10"/>
      <c r="L31" s="181"/>
      <c r="M31" s="304"/>
      <c r="N31" s="305"/>
      <c r="O31" s="305"/>
      <c r="P31" s="306"/>
      <c r="R31" s="9" t="str">
        <f>R20</f>
        <v>Bankdrücken - Variation</v>
      </c>
      <c r="S31" s="10">
        <v>3</v>
      </c>
      <c r="T31" s="10">
        <v>4</v>
      </c>
      <c r="U31" s="44">
        <f>IF(R20="3ct. WK-Bankdrücken",(F11*0.78)-5,(F12*0.78)-5)</f>
        <v>-5</v>
      </c>
      <c r="V31" s="4" t="s">
        <v>3</v>
      </c>
      <c r="W31" s="35">
        <f>IF(R20="3ct. WK-Bankdrücken",(F11*0.78)+5,(F12*0.78)+5)</f>
        <v>5</v>
      </c>
      <c r="X31" s="10">
        <v>7</v>
      </c>
      <c r="Y31" s="121" t="s">
        <v>57</v>
      </c>
      <c r="Z31" s="10"/>
      <c r="AA31" s="181"/>
      <c r="AB31" s="304"/>
      <c r="AC31" s="305"/>
      <c r="AD31" s="305"/>
      <c r="AE31" s="306"/>
      <c r="AG31" s="110" t="s">
        <v>70</v>
      </c>
      <c r="AH31" s="10">
        <v>3</v>
      </c>
      <c r="AI31" s="10">
        <f>IF(AG31="Kreuzheben im Reißgriff",6,8)</f>
        <v>8</v>
      </c>
      <c r="AJ31" s="44"/>
      <c r="AK31" s="4" t="s">
        <v>3</v>
      </c>
      <c r="AL31" s="35"/>
      <c r="AM31" s="10">
        <v>8</v>
      </c>
      <c r="AN31" s="10" t="s">
        <v>56</v>
      </c>
      <c r="AO31" s="10"/>
      <c r="AP31" s="181"/>
      <c r="AQ31" s="304"/>
      <c r="AR31" s="305"/>
      <c r="AS31" s="305"/>
      <c r="AT31" s="306"/>
      <c r="AU31" s="25"/>
      <c r="AV31" s="120" t="s">
        <v>99</v>
      </c>
      <c r="AW31" s="10">
        <v>2</v>
      </c>
      <c r="AX31" s="10">
        <v>6</v>
      </c>
      <c r="AY31" s="44">
        <f>(0.72*F13)-5</f>
        <v>-5</v>
      </c>
      <c r="AZ31" s="4" t="s">
        <v>3</v>
      </c>
      <c r="BA31" s="35">
        <f>(0.72*F13)+5</f>
        <v>5</v>
      </c>
      <c r="BB31" s="10">
        <v>7</v>
      </c>
      <c r="BC31" s="121" t="s">
        <v>57</v>
      </c>
      <c r="BD31" s="10"/>
      <c r="BE31" s="181"/>
      <c r="BF31" s="304"/>
      <c r="BG31" s="305"/>
      <c r="BH31" s="305"/>
      <c r="BI31" s="306"/>
      <c r="BL31" s="27" t="s">
        <v>77</v>
      </c>
      <c r="BN31" s="27" t="s">
        <v>78</v>
      </c>
      <c r="BP31" s="27" t="s">
        <v>79</v>
      </c>
      <c r="BR31" s="27" t="s">
        <v>80</v>
      </c>
    </row>
    <row r="32" spans="3:70" ht="16" x14ac:dyDescent="0.2">
      <c r="C32" s="7" t="str">
        <f>C21</f>
        <v>Unterkörperübung, unilateral</v>
      </c>
      <c r="D32" s="8">
        <v>2</v>
      </c>
      <c r="E32" s="8">
        <v>10</v>
      </c>
      <c r="F32" s="30"/>
      <c r="G32" s="5" t="s">
        <v>3</v>
      </c>
      <c r="H32" s="31"/>
      <c r="I32" s="32" t="s">
        <v>28</v>
      </c>
      <c r="J32" s="8"/>
      <c r="K32" s="8"/>
      <c r="L32" s="180"/>
      <c r="M32" s="312"/>
      <c r="N32" s="313"/>
      <c r="O32" s="313"/>
      <c r="P32" s="314"/>
      <c r="R32" s="7" t="str">
        <f>R21</f>
        <v>Kniebeuge - Variation</v>
      </c>
      <c r="S32" s="8">
        <v>3</v>
      </c>
      <c r="T32" s="8">
        <v>4</v>
      </c>
      <c r="U32" s="30">
        <f>IF(R21="2ct. WK-Kniebeuge",(D11*0.78)-5,(D12*0.78)-5)</f>
        <v>-5</v>
      </c>
      <c r="V32" s="5" t="s">
        <v>3</v>
      </c>
      <c r="W32" s="31">
        <f>IF(R21="2ct. WK-Kniebeuge",(D11*0.78)+5,(D12*0.78)+5)</f>
        <v>5</v>
      </c>
      <c r="X32" s="8">
        <v>7</v>
      </c>
      <c r="Y32" s="119" t="s">
        <v>58</v>
      </c>
      <c r="Z32" s="8"/>
      <c r="AA32" s="180"/>
      <c r="AB32" s="312"/>
      <c r="AC32" s="313"/>
      <c r="AD32" s="313"/>
      <c r="AE32" s="314"/>
      <c r="AG32" s="7" t="str">
        <f>AG21</f>
        <v>Rudern</v>
      </c>
      <c r="AH32" s="8">
        <v>3</v>
      </c>
      <c r="AI32" s="28" t="s">
        <v>38</v>
      </c>
      <c r="AJ32" s="30"/>
      <c r="AK32" s="5" t="s">
        <v>3</v>
      </c>
      <c r="AL32" s="31"/>
      <c r="AM32" s="32" t="s">
        <v>28</v>
      </c>
      <c r="AN32" s="8"/>
      <c r="AO32" s="8"/>
      <c r="AP32" s="180"/>
      <c r="AQ32" s="312"/>
      <c r="AR32" s="313"/>
      <c r="AS32" s="313"/>
      <c r="AT32" s="314"/>
      <c r="AU32" s="25"/>
      <c r="AV32" s="7" t="str">
        <f>AV21</f>
        <v>Latzug</v>
      </c>
      <c r="AW32" s="8">
        <v>3</v>
      </c>
      <c r="AX32" s="291" t="s">
        <v>38</v>
      </c>
      <c r="AY32" s="33"/>
      <c r="AZ32" s="5" t="s">
        <v>3</v>
      </c>
      <c r="BA32" s="31"/>
      <c r="BB32" s="32" t="s">
        <v>28</v>
      </c>
      <c r="BC32" s="8"/>
      <c r="BD32" s="8"/>
      <c r="BE32" s="180"/>
      <c r="BF32" s="312"/>
      <c r="BG32" s="313"/>
      <c r="BH32" s="313"/>
      <c r="BI32" s="314"/>
      <c r="BL32" s="27" t="s">
        <v>91</v>
      </c>
      <c r="BN32" s="27" t="s">
        <v>0</v>
      </c>
      <c r="BP32" s="27" t="s">
        <v>23</v>
      </c>
      <c r="BR32" s="27" t="s">
        <v>15</v>
      </c>
    </row>
    <row r="33" spans="3:70" ht="16" x14ac:dyDescent="0.2">
      <c r="C33" s="9" t="str">
        <f>C22</f>
        <v>Oberkörper Drückbewegung</v>
      </c>
      <c r="D33" s="10">
        <v>3</v>
      </c>
      <c r="E33" s="10">
        <f>IF(OR(C33="Dips",C11="LH Schulterdrücken"),6,8)</f>
        <v>8</v>
      </c>
      <c r="F33" s="34"/>
      <c r="G33" s="4" t="s">
        <v>3</v>
      </c>
      <c r="H33" s="35"/>
      <c r="I33" s="10">
        <v>8</v>
      </c>
      <c r="J33" s="10"/>
      <c r="K33" s="10"/>
      <c r="L33" s="181"/>
      <c r="M33" s="304"/>
      <c r="N33" s="305"/>
      <c r="O33" s="305"/>
      <c r="P33" s="306"/>
      <c r="R33" s="9" t="str">
        <f>R22</f>
        <v>Oberkörper Drückbewegung</v>
      </c>
      <c r="S33" s="10">
        <v>2</v>
      </c>
      <c r="T33" s="10" t="str">
        <f>IF(OR(R33="Dips",R33="Military Press"),"6-8","8-10")</f>
        <v>8-10</v>
      </c>
      <c r="U33" s="44"/>
      <c r="V33" s="4" t="s">
        <v>3</v>
      </c>
      <c r="W33" s="35"/>
      <c r="X33" s="29" t="s">
        <v>28</v>
      </c>
      <c r="Y33" s="10"/>
      <c r="Z33" s="10"/>
      <c r="AA33" s="181"/>
      <c r="AB33" s="304"/>
      <c r="AC33" s="305"/>
      <c r="AD33" s="305"/>
      <c r="AE33" s="306"/>
      <c r="AG33" s="9" t="s">
        <v>24</v>
      </c>
      <c r="AH33" s="10">
        <v>3</v>
      </c>
      <c r="AI33" s="10">
        <v>8</v>
      </c>
      <c r="AJ33" s="44"/>
      <c r="AK33" s="4" t="s">
        <v>3</v>
      </c>
      <c r="AL33" s="35"/>
      <c r="AM33" s="29" t="s">
        <v>28</v>
      </c>
      <c r="AN33" s="10"/>
      <c r="AO33" s="10"/>
      <c r="AP33" s="181"/>
      <c r="AQ33" s="304"/>
      <c r="AR33" s="305"/>
      <c r="AS33" s="305"/>
      <c r="AT33" s="306"/>
      <c r="AU33" s="25"/>
      <c r="AV33" s="9" t="str">
        <f>AV22</f>
        <v>Hintere Schulter</v>
      </c>
      <c r="AW33" s="10">
        <v>3</v>
      </c>
      <c r="AX33" s="29" t="s">
        <v>38</v>
      </c>
      <c r="AY33" s="44"/>
      <c r="AZ33" s="4" t="s">
        <v>3</v>
      </c>
      <c r="BA33" s="35"/>
      <c r="BB33" s="29" t="s">
        <v>28</v>
      </c>
      <c r="BC33" s="10"/>
      <c r="BD33" s="10"/>
      <c r="BE33" s="181"/>
      <c r="BF33" s="304"/>
      <c r="BG33" s="305"/>
      <c r="BH33" s="305"/>
      <c r="BI33" s="306"/>
      <c r="BL33" s="27" t="s">
        <v>60</v>
      </c>
      <c r="BN33" s="27" t="s">
        <v>81</v>
      </c>
      <c r="BP33" s="27" t="s">
        <v>21</v>
      </c>
      <c r="BR33" s="27" t="s">
        <v>25</v>
      </c>
    </row>
    <row r="34" spans="3:70" ht="16" x14ac:dyDescent="0.2">
      <c r="C34" s="7" t="str">
        <f>C23</f>
        <v>Rudern</v>
      </c>
      <c r="D34" s="8">
        <v>3</v>
      </c>
      <c r="E34" s="279" t="str">
        <f>IF(OR(C34="Pendlay Rudern"),"7","8-10")</f>
        <v>8-10</v>
      </c>
      <c r="F34" s="30"/>
      <c r="G34" s="5" t="s">
        <v>3</v>
      </c>
      <c r="H34" s="31"/>
      <c r="I34" s="8">
        <v>8</v>
      </c>
      <c r="J34" s="8"/>
      <c r="K34" s="8"/>
      <c r="L34" s="180"/>
      <c r="M34" s="312"/>
      <c r="N34" s="313"/>
      <c r="O34" s="313"/>
      <c r="P34" s="314"/>
      <c r="R34" s="7" t="s">
        <v>19</v>
      </c>
      <c r="S34" s="32" t="s">
        <v>34</v>
      </c>
      <c r="T34" s="32" t="s">
        <v>35</v>
      </c>
      <c r="U34" s="30"/>
      <c r="V34" s="5" t="s">
        <v>3</v>
      </c>
      <c r="W34" s="31"/>
      <c r="X34" s="32" t="s">
        <v>28</v>
      </c>
      <c r="Y34" s="8"/>
      <c r="Z34" s="8"/>
      <c r="AA34" s="180"/>
      <c r="AB34" s="312"/>
      <c r="AC34" s="313"/>
      <c r="AD34" s="313"/>
      <c r="AE34" s="314"/>
      <c r="AG34" s="118" t="s">
        <v>96</v>
      </c>
      <c r="AH34" s="8">
        <v>2</v>
      </c>
      <c r="AI34" s="8"/>
      <c r="AJ34" s="30"/>
      <c r="AK34" s="5" t="s">
        <v>3</v>
      </c>
      <c r="AL34" s="31"/>
      <c r="AM34" s="8"/>
      <c r="AN34" s="8"/>
      <c r="AO34" s="8"/>
      <c r="AP34" s="180"/>
      <c r="AQ34" s="312"/>
      <c r="AR34" s="313"/>
      <c r="AS34" s="313"/>
      <c r="AT34" s="314"/>
      <c r="AU34" s="25"/>
      <c r="AV34" s="112"/>
      <c r="AW34" s="113"/>
      <c r="AX34" s="113"/>
      <c r="AY34" s="111"/>
      <c r="AZ34" s="56"/>
      <c r="BA34" s="114"/>
      <c r="BB34" s="113"/>
      <c r="BC34" s="113"/>
      <c r="BD34" s="113"/>
      <c r="BE34" s="56"/>
      <c r="BF34" s="312"/>
      <c r="BG34" s="313"/>
      <c r="BH34" s="313"/>
      <c r="BI34" s="314"/>
      <c r="BL34" s="27" t="s">
        <v>61</v>
      </c>
      <c r="BN34" s="27" t="s">
        <v>83</v>
      </c>
      <c r="BP34" s="27" t="s">
        <v>22</v>
      </c>
      <c r="BR34" s="27" t="s">
        <v>16</v>
      </c>
    </row>
    <row r="35" spans="3:70" ht="17" thickBot="1" x14ac:dyDescent="0.25">
      <c r="C35" s="196" t="s">
        <v>96</v>
      </c>
      <c r="D35" s="101">
        <v>2</v>
      </c>
      <c r="E35" s="101"/>
      <c r="F35" s="102"/>
      <c r="G35" s="3" t="s">
        <v>3</v>
      </c>
      <c r="H35" s="103"/>
      <c r="I35" s="101"/>
      <c r="J35" s="101"/>
      <c r="K35" s="101"/>
      <c r="L35" s="184"/>
      <c r="M35" s="334"/>
      <c r="N35" s="335"/>
      <c r="O35" s="335"/>
      <c r="P35" s="336"/>
      <c r="R35" s="100" t="s">
        <v>20</v>
      </c>
      <c r="S35" s="109" t="s">
        <v>34</v>
      </c>
      <c r="T35" s="109" t="s">
        <v>35</v>
      </c>
      <c r="U35" s="102"/>
      <c r="V35" s="3" t="s">
        <v>3</v>
      </c>
      <c r="W35" s="103"/>
      <c r="X35" s="109" t="s">
        <v>28</v>
      </c>
      <c r="Y35" s="101"/>
      <c r="Z35" s="101"/>
      <c r="AA35" s="184"/>
      <c r="AB35" s="334"/>
      <c r="AC35" s="335"/>
      <c r="AD35" s="335"/>
      <c r="AE35" s="336"/>
      <c r="AG35" s="100"/>
      <c r="AH35" s="101"/>
      <c r="AI35" s="101"/>
      <c r="AJ35" s="102"/>
      <c r="AK35" s="3" t="s">
        <v>3</v>
      </c>
      <c r="AL35" s="103"/>
      <c r="AM35" s="101"/>
      <c r="AN35" s="101"/>
      <c r="AO35" s="101"/>
      <c r="AP35" s="184"/>
      <c r="AQ35" s="334"/>
      <c r="AR35" s="335"/>
      <c r="AS35" s="335"/>
      <c r="AT35" s="336"/>
      <c r="AU35" s="25"/>
      <c r="AV35" s="100"/>
      <c r="AW35" s="101"/>
      <c r="AX35" s="101"/>
      <c r="AY35" s="102"/>
      <c r="AZ35" s="3" t="s">
        <v>3</v>
      </c>
      <c r="BA35" s="103"/>
      <c r="BB35" s="101"/>
      <c r="BC35" s="101"/>
      <c r="BD35" s="101"/>
      <c r="BE35" s="184"/>
      <c r="BF35" s="334"/>
      <c r="BG35" s="335"/>
      <c r="BH35" s="335"/>
      <c r="BI35" s="336"/>
      <c r="BL35" s="27" t="s">
        <v>82</v>
      </c>
      <c r="BN35" s="27" t="s">
        <v>85</v>
      </c>
      <c r="BR35" s="27" t="s">
        <v>17</v>
      </c>
    </row>
    <row r="36" spans="3:70" x14ac:dyDescent="0.2">
      <c r="F36"/>
      <c r="H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L36" s="27" t="s">
        <v>84</v>
      </c>
      <c r="BN36" s="27" t="s">
        <v>86</v>
      </c>
    </row>
    <row r="37" spans="3:70" ht="16" thickBot="1" x14ac:dyDescent="0.25">
      <c r="BL37" s="27" t="s">
        <v>1</v>
      </c>
    </row>
    <row r="38" spans="3:70" ht="25" thickBot="1" x14ac:dyDescent="0.25">
      <c r="C38" s="95" t="s">
        <v>11</v>
      </c>
      <c r="D38" s="1"/>
      <c r="E38" s="1"/>
      <c r="F38" s="43"/>
      <c r="G38" s="1"/>
      <c r="H38" s="46"/>
      <c r="I38" s="1"/>
      <c r="J38" s="1"/>
      <c r="K38" s="1"/>
      <c r="L38" s="1"/>
      <c r="M38" s="1"/>
      <c r="N38" s="1"/>
      <c r="O38" s="1"/>
      <c r="P38" s="1"/>
      <c r="BL38" s="27" t="s">
        <v>13</v>
      </c>
      <c r="BN38" s="27" t="s">
        <v>87</v>
      </c>
    </row>
    <row r="39" spans="3:70" ht="20" thickBot="1" x14ac:dyDescent="0.3">
      <c r="C39" s="188" t="s">
        <v>110</v>
      </c>
      <c r="D39" s="299" t="s">
        <v>128</v>
      </c>
      <c r="E39" s="299" t="s">
        <v>54</v>
      </c>
      <c r="F39" s="308" t="s">
        <v>27</v>
      </c>
      <c r="G39" s="308"/>
      <c r="H39" s="309"/>
      <c r="I39" s="299" t="s">
        <v>5</v>
      </c>
      <c r="J39" s="299" t="s">
        <v>129</v>
      </c>
      <c r="K39" s="299" t="s">
        <v>7</v>
      </c>
      <c r="L39" s="298" t="s">
        <v>63</v>
      </c>
      <c r="M39" s="310" t="s">
        <v>6</v>
      </c>
      <c r="N39" s="308"/>
      <c r="O39" s="308"/>
      <c r="P39" s="311"/>
      <c r="R39" s="142" t="s">
        <v>115</v>
      </c>
      <c r="S39" s="299" t="s">
        <v>128</v>
      </c>
      <c r="T39" s="299" t="s">
        <v>54</v>
      </c>
      <c r="U39" s="308" t="s">
        <v>27</v>
      </c>
      <c r="V39" s="308"/>
      <c r="W39" s="309"/>
      <c r="X39" s="299" t="s">
        <v>5</v>
      </c>
      <c r="Y39" s="299" t="s">
        <v>129</v>
      </c>
      <c r="Z39" s="299" t="s">
        <v>7</v>
      </c>
      <c r="AA39" s="298" t="s">
        <v>63</v>
      </c>
      <c r="AB39" s="310" t="s">
        <v>6</v>
      </c>
      <c r="AC39" s="308"/>
      <c r="AD39" s="308"/>
      <c r="AE39" s="311"/>
      <c r="AG39" s="142" t="s">
        <v>120</v>
      </c>
      <c r="AH39" s="299" t="s">
        <v>128</v>
      </c>
      <c r="AI39" s="299" t="s">
        <v>54</v>
      </c>
      <c r="AJ39" s="308" t="s">
        <v>27</v>
      </c>
      <c r="AK39" s="308"/>
      <c r="AL39" s="309"/>
      <c r="AM39" s="299" t="s">
        <v>5</v>
      </c>
      <c r="AN39" s="299" t="s">
        <v>129</v>
      </c>
      <c r="AO39" s="299" t="s">
        <v>7</v>
      </c>
      <c r="AP39" s="298" t="s">
        <v>63</v>
      </c>
      <c r="AQ39" s="310" t="s">
        <v>6</v>
      </c>
      <c r="AR39" s="308"/>
      <c r="AS39" s="308"/>
      <c r="AT39" s="311"/>
      <c r="AU39" s="26"/>
      <c r="AV39" s="142" t="s">
        <v>125</v>
      </c>
      <c r="AW39" s="299" t="s">
        <v>128</v>
      </c>
      <c r="AX39" s="299" t="s">
        <v>54</v>
      </c>
      <c r="AY39" s="308" t="s">
        <v>27</v>
      </c>
      <c r="AZ39" s="308"/>
      <c r="BA39" s="309"/>
      <c r="BB39" s="299" t="s">
        <v>5</v>
      </c>
      <c r="BC39" s="299" t="s">
        <v>129</v>
      </c>
      <c r="BD39" s="299" t="s">
        <v>7</v>
      </c>
      <c r="BE39" s="298" t="s">
        <v>63</v>
      </c>
      <c r="BF39" s="310" t="s">
        <v>6</v>
      </c>
      <c r="BG39" s="308"/>
      <c r="BH39" s="308"/>
      <c r="BI39" s="311"/>
      <c r="BL39" s="27" t="s">
        <v>14</v>
      </c>
      <c r="BN39" s="27" t="s">
        <v>88</v>
      </c>
    </row>
    <row r="40" spans="3:70" ht="16" x14ac:dyDescent="0.2">
      <c r="C40" s="7" t="str">
        <f>C18</f>
        <v>WK-Kniebeuge</v>
      </c>
      <c r="D40" s="8">
        <v>1</v>
      </c>
      <c r="E40" s="8">
        <v>1</v>
      </c>
      <c r="F40" s="30">
        <f>(0.91*D10)-5</f>
        <v>-5</v>
      </c>
      <c r="G40" s="5" t="s">
        <v>3</v>
      </c>
      <c r="H40" s="31">
        <f>(0.91*D10)+5</f>
        <v>5</v>
      </c>
      <c r="I40" s="8">
        <v>8</v>
      </c>
      <c r="J40" s="119" t="s">
        <v>58</v>
      </c>
      <c r="K40" s="8"/>
      <c r="L40" s="180"/>
      <c r="M40" s="318"/>
      <c r="N40" s="319"/>
      <c r="O40" s="319"/>
      <c r="P40" s="320"/>
      <c r="R40" s="118" t="s">
        <v>94</v>
      </c>
      <c r="S40" s="8">
        <v>1</v>
      </c>
      <c r="T40" s="8">
        <v>1</v>
      </c>
      <c r="U40" s="30">
        <f>(0.9*H10)-5</f>
        <v>-5</v>
      </c>
      <c r="V40" s="5" t="s">
        <v>3</v>
      </c>
      <c r="W40" s="31">
        <f>(0.9*H10)+5</f>
        <v>5</v>
      </c>
      <c r="X40" s="8">
        <v>8</v>
      </c>
      <c r="Y40" s="8" t="s">
        <v>37</v>
      </c>
      <c r="Z40" s="8"/>
      <c r="AA40" s="180"/>
      <c r="AB40" s="318"/>
      <c r="AC40" s="319"/>
      <c r="AD40" s="319"/>
      <c r="AE40" s="320"/>
      <c r="AG40" s="7" t="s">
        <v>95</v>
      </c>
      <c r="AH40" s="8">
        <v>4</v>
      </c>
      <c r="AI40" s="8">
        <v>5</v>
      </c>
      <c r="AJ40" s="30">
        <f>(0.78*D13)-5</f>
        <v>-5</v>
      </c>
      <c r="AK40" s="5" t="s">
        <v>3</v>
      </c>
      <c r="AL40" s="31">
        <f>(0.78*D13)+5</f>
        <v>5</v>
      </c>
      <c r="AM40" s="8">
        <v>8</v>
      </c>
      <c r="AN40" s="119" t="s">
        <v>58</v>
      </c>
      <c r="AO40" s="8"/>
      <c r="AP40" s="180"/>
      <c r="AQ40" s="318"/>
      <c r="AR40" s="319"/>
      <c r="AS40" s="319"/>
      <c r="AT40" s="320"/>
      <c r="AU40" s="25"/>
      <c r="AV40" s="118" t="s">
        <v>93</v>
      </c>
      <c r="AW40" s="8">
        <v>1</v>
      </c>
      <c r="AX40" s="8">
        <v>1</v>
      </c>
      <c r="AY40" s="30">
        <f>(0.91*F10)-5</f>
        <v>-5</v>
      </c>
      <c r="AZ40" s="5" t="s">
        <v>3</v>
      </c>
      <c r="BA40" s="31">
        <f>(0.91*F10)+5</f>
        <v>5</v>
      </c>
      <c r="BB40" s="8">
        <v>8</v>
      </c>
      <c r="BC40" s="119" t="s">
        <v>57</v>
      </c>
      <c r="BD40" s="8"/>
      <c r="BE40" s="180"/>
      <c r="BF40" s="318"/>
      <c r="BG40" s="319"/>
      <c r="BH40" s="319"/>
      <c r="BI40" s="320"/>
      <c r="BL40" s="27" t="s">
        <v>77</v>
      </c>
      <c r="BN40" s="27" t="s">
        <v>89</v>
      </c>
    </row>
    <row r="41" spans="3:70" ht="16" x14ac:dyDescent="0.2">
      <c r="C41" s="7" t="s">
        <v>92</v>
      </c>
      <c r="D41" s="8">
        <v>5</v>
      </c>
      <c r="E41" s="8">
        <v>4</v>
      </c>
      <c r="F41" s="30">
        <f>(0.8*D10)-5</f>
        <v>-5</v>
      </c>
      <c r="G41" s="5" t="s">
        <v>3</v>
      </c>
      <c r="H41" s="31">
        <f>(0.8*D10)+5</f>
        <v>5</v>
      </c>
      <c r="I41" s="8">
        <v>8</v>
      </c>
      <c r="J41" s="119" t="s">
        <v>58</v>
      </c>
      <c r="K41" s="8"/>
      <c r="L41" s="180"/>
      <c r="M41" s="312"/>
      <c r="N41" s="313"/>
      <c r="O41" s="313"/>
      <c r="P41" s="314"/>
      <c r="R41" s="7" t="s">
        <v>94</v>
      </c>
      <c r="S41" s="8">
        <v>5</v>
      </c>
      <c r="T41" s="8">
        <v>4</v>
      </c>
      <c r="U41" s="30">
        <f>(0.8*H10)-5</f>
        <v>-5</v>
      </c>
      <c r="V41" s="5"/>
      <c r="W41" s="31">
        <f>(0.8*H10)+5</f>
        <v>5</v>
      </c>
      <c r="X41" s="8">
        <v>8</v>
      </c>
      <c r="Y41" s="119" t="s">
        <v>37</v>
      </c>
      <c r="Z41" s="8"/>
      <c r="AA41" s="180"/>
      <c r="AB41" s="312"/>
      <c r="AC41" s="313"/>
      <c r="AD41" s="313"/>
      <c r="AE41" s="314"/>
      <c r="AG41" s="7"/>
      <c r="AH41" s="8"/>
      <c r="AI41" s="8"/>
      <c r="AJ41" s="30"/>
      <c r="AK41" s="5" t="s">
        <v>3</v>
      </c>
      <c r="AL41" s="31"/>
      <c r="AM41" s="8"/>
      <c r="AN41" s="8"/>
      <c r="AO41" s="8"/>
      <c r="AP41" s="180"/>
      <c r="AQ41" s="312"/>
      <c r="AR41" s="313"/>
      <c r="AS41" s="313"/>
      <c r="AT41" s="314"/>
      <c r="AU41" s="25"/>
      <c r="AV41" s="118" t="s">
        <v>93</v>
      </c>
      <c r="AW41" s="8">
        <v>5</v>
      </c>
      <c r="AX41" s="8">
        <v>4</v>
      </c>
      <c r="AY41" s="30">
        <f>(0.8*F10)-5</f>
        <v>-5</v>
      </c>
      <c r="AZ41" s="5" t="s">
        <v>3</v>
      </c>
      <c r="BA41" s="31">
        <f>(0.8*F10)+5</f>
        <v>5</v>
      </c>
      <c r="BB41" s="8">
        <v>8</v>
      </c>
      <c r="BC41" s="119" t="s">
        <v>57</v>
      </c>
      <c r="BD41" s="8"/>
      <c r="BE41" s="180"/>
      <c r="BF41" s="312"/>
      <c r="BG41" s="313"/>
      <c r="BH41" s="313"/>
      <c r="BI41" s="314"/>
      <c r="BL41" s="27" t="s">
        <v>91</v>
      </c>
      <c r="BN41" s="27" t="s">
        <v>90</v>
      </c>
    </row>
    <row r="42" spans="3:70" ht="16" x14ac:dyDescent="0.2">
      <c r="C42" s="192" t="s">
        <v>93</v>
      </c>
      <c r="D42" s="10">
        <v>3</v>
      </c>
      <c r="E42" s="10">
        <v>6</v>
      </c>
      <c r="F42" s="34">
        <f>(0.75*F10)-5</f>
        <v>-5</v>
      </c>
      <c r="G42" s="4" t="s">
        <v>3</v>
      </c>
      <c r="H42" s="35">
        <f>(0.75*F10)+5</f>
        <v>5</v>
      </c>
      <c r="I42" s="10">
        <v>8</v>
      </c>
      <c r="J42" s="121" t="s">
        <v>57</v>
      </c>
      <c r="K42" s="10"/>
      <c r="L42" s="181"/>
      <c r="M42" s="304"/>
      <c r="N42" s="305"/>
      <c r="O42" s="305"/>
      <c r="P42" s="306"/>
      <c r="R42" s="9" t="str">
        <f>R20</f>
        <v>Bankdrücken - Variation</v>
      </c>
      <c r="S42" s="10">
        <v>2</v>
      </c>
      <c r="T42" s="10">
        <v>3</v>
      </c>
      <c r="U42" s="44">
        <f>IF(R20="3ct. WK-Bankdrücken",(F11*0.8)-5,(F12*0.8)-5)</f>
        <v>-5</v>
      </c>
      <c r="V42" s="4" t="s">
        <v>3</v>
      </c>
      <c r="W42" s="35">
        <f>IF(R20="3ct. WK-Bankdrücken",(F11*0.8)+5,(F12*0.8)+5)</f>
        <v>5</v>
      </c>
      <c r="X42" s="10">
        <v>7</v>
      </c>
      <c r="Y42" s="121" t="s">
        <v>57</v>
      </c>
      <c r="Z42" s="10"/>
      <c r="AA42" s="181"/>
      <c r="AB42" s="304"/>
      <c r="AC42" s="305"/>
      <c r="AD42" s="305"/>
      <c r="AE42" s="306"/>
      <c r="AG42" s="9" t="str">
        <f>AG20</f>
        <v>Kreuzheben - Variation</v>
      </c>
      <c r="AH42" s="10">
        <v>3</v>
      </c>
      <c r="AI42" s="10">
        <v>5</v>
      </c>
      <c r="AJ42" s="44">
        <f>IF(AG20="1ct. WK-Kreuzheben",((0.78*H12)-5),((0.78*H11)-5))</f>
        <v>-5</v>
      </c>
      <c r="AK42" s="4" t="s">
        <v>3</v>
      </c>
      <c r="AL42" s="35">
        <f>IF(AG20="1ct. WK-Kreuzheben",((0.78*H12)+5),((0.78*H11)+5))</f>
        <v>5</v>
      </c>
      <c r="AM42" s="10">
        <v>8</v>
      </c>
      <c r="AN42" s="121" t="s">
        <v>37</v>
      </c>
      <c r="AO42" s="10"/>
      <c r="AP42" s="181"/>
      <c r="AQ42" s="304"/>
      <c r="AR42" s="305"/>
      <c r="AS42" s="305"/>
      <c r="AT42" s="306"/>
      <c r="AU42" s="25"/>
      <c r="AV42" s="120" t="s">
        <v>99</v>
      </c>
      <c r="AW42" s="10">
        <v>2</v>
      </c>
      <c r="AX42" s="10">
        <v>6</v>
      </c>
      <c r="AY42" s="44">
        <f>(0.74*F13)-5</f>
        <v>-5</v>
      </c>
      <c r="AZ42" s="4" t="s">
        <v>3</v>
      </c>
      <c r="BA42" s="35">
        <f>(0.74*F13)+5</f>
        <v>5</v>
      </c>
      <c r="BB42" s="10">
        <v>7</v>
      </c>
      <c r="BC42" s="121" t="s">
        <v>57</v>
      </c>
      <c r="BD42" s="10"/>
      <c r="BE42" s="181"/>
      <c r="BF42" s="304"/>
      <c r="BG42" s="305"/>
      <c r="BH42" s="305"/>
      <c r="BI42" s="306"/>
      <c r="BL42" s="27" t="s">
        <v>60</v>
      </c>
      <c r="BN42" s="27" t="s">
        <v>18</v>
      </c>
    </row>
    <row r="43" spans="3:70" ht="16" x14ac:dyDescent="0.2">
      <c r="C43" s="7" t="str">
        <f>C21</f>
        <v>Unterkörperübung, unilateral</v>
      </c>
      <c r="D43" s="8">
        <v>3</v>
      </c>
      <c r="E43" s="8">
        <v>8</v>
      </c>
      <c r="F43" s="30"/>
      <c r="G43" s="5" t="s">
        <v>3</v>
      </c>
      <c r="H43" s="31"/>
      <c r="I43" s="32" t="s">
        <v>32</v>
      </c>
      <c r="J43" s="8"/>
      <c r="K43" s="8"/>
      <c r="L43" s="180"/>
      <c r="M43" s="312"/>
      <c r="N43" s="313"/>
      <c r="O43" s="313"/>
      <c r="P43" s="314"/>
      <c r="R43" s="7" t="str">
        <f>R21</f>
        <v>Kniebeuge - Variation</v>
      </c>
      <c r="S43" s="8">
        <v>3</v>
      </c>
      <c r="T43" s="8">
        <v>3</v>
      </c>
      <c r="U43" s="30">
        <f>IF(R21="2ct. WK-Kniebeuge",(D11*0.8)-5,(D12*0.8)-5)</f>
        <v>-5</v>
      </c>
      <c r="V43" s="5" t="s">
        <v>3</v>
      </c>
      <c r="W43" s="31">
        <f>IF(R21="2ct. WK-Kniebeuge",(D11*0.8)+5,(D12*0.8)+5)</f>
        <v>5</v>
      </c>
      <c r="X43" s="8">
        <v>7</v>
      </c>
      <c r="Y43" s="119" t="s">
        <v>58</v>
      </c>
      <c r="Z43" s="8"/>
      <c r="AA43" s="180"/>
      <c r="AB43" s="312"/>
      <c r="AC43" s="313"/>
      <c r="AD43" s="313"/>
      <c r="AE43" s="314"/>
      <c r="AG43" s="7" t="str">
        <f>AG21</f>
        <v>Rudern</v>
      </c>
      <c r="AH43" s="8">
        <v>3</v>
      </c>
      <c r="AI43" s="28" t="s">
        <v>38</v>
      </c>
      <c r="AJ43" s="30"/>
      <c r="AK43" s="5" t="s">
        <v>3</v>
      </c>
      <c r="AL43" s="31"/>
      <c r="AM43" s="32" t="s">
        <v>32</v>
      </c>
      <c r="AN43" s="8"/>
      <c r="AO43" s="8"/>
      <c r="AP43" s="180"/>
      <c r="AQ43" s="312"/>
      <c r="AR43" s="313"/>
      <c r="AS43" s="313"/>
      <c r="AT43" s="314"/>
      <c r="AU43" s="25"/>
      <c r="AV43" s="7" t="str">
        <f>AV21</f>
        <v>Latzug</v>
      </c>
      <c r="AW43" s="8">
        <v>3</v>
      </c>
      <c r="AX43" s="291" t="s">
        <v>38</v>
      </c>
      <c r="AY43" s="33"/>
      <c r="AZ43" s="5" t="s">
        <v>3</v>
      </c>
      <c r="BA43" s="31"/>
      <c r="BB43" s="32" t="s">
        <v>32</v>
      </c>
      <c r="BC43" s="8"/>
      <c r="BD43" s="8"/>
      <c r="BE43" s="180"/>
      <c r="BF43" s="312"/>
      <c r="BG43" s="313"/>
      <c r="BH43" s="313"/>
      <c r="BI43" s="314"/>
      <c r="BL43" s="27" t="s">
        <v>61</v>
      </c>
    </row>
    <row r="44" spans="3:70" ht="16" x14ac:dyDescent="0.2">
      <c r="C44" s="9" t="str">
        <f>C22</f>
        <v>Oberkörper Drückbewegung</v>
      </c>
      <c r="D44" s="10">
        <v>3</v>
      </c>
      <c r="E44" s="275">
        <f>IF(OR(C44="Dips",C11="LH Schulterdrücken"),5,6)</f>
        <v>6</v>
      </c>
      <c r="F44" s="34"/>
      <c r="G44" s="4" t="s">
        <v>3</v>
      </c>
      <c r="H44" s="35"/>
      <c r="I44" s="10">
        <v>8</v>
      </c>
      <c r="J44" s="10"/>
      <c r="K44" s="10"/>
      <c r="L44" s="181"/>
      <c r="M44" s="304"/>
      <c r="N44" s="305"/>
      <c r="O44" s="305"/>
      <c r="P44" s="306"/>
      <c r="R44" s="9" t="str">
        <f>R22</f>
        <v>Oberkörper Drückbewegung</v>
      </c>
      <c r="S44" s="10">
        <v>2</v>
      </c>
      <c r="T44" s="10" t="str">
        <f>IF(OR(R44="Dips",R44="Military Press"),"6-8","8-10")</f>
        <v>8-10</v>
      </c>
      <c r="U44" s="44"/>
      <c r="V44" s="4" t="s">
        <v>3</v>
      </c>
      <c r="W44" s="35"/>
      <c r="X44" s="29" t="s">
        <v>32</v>
      </c>
      <c r="Y44" s="10"/>
      <c r="Z44" s="10"/>
      <c r="AA44" s="181"/>
      <c r="AB44" s="304"/>
      <c r="AC44" s="305"/>
      <c r="AD44" s="305"/>
      <c r="AE44" s="306"/>
      <c r="AG44" s="9" t="s">
        <v>24</v>
      </c>
      <c r="AH44" s="10">
        <v>3</v>
      </c>
      <c r="AI44" s="10">
        <v>6</v>
      </c>
      <c r="AJ44" s="44"/>
      <c r="AK44" s="4" t="s">
        <v>3</v>
      </c>
      <c r="AL44" s="35"/>
      <c r="AM44" s="29" t="s">
        <v>32</v>
      </c>
      <c r="AN44" s="10"/>
      <c r="AO44" s="10"/>
      <c r="AP44" s="181"/>
      <c r="AQ44" s="304"/>
      <c r="AR44" s="305"/>
      <c r="AS44" s="305"/>
      <c r="AT44" s="306"/>
      <c r="AU44" s="25"/>
      <c r="AV44" s="9" t="str">
        <f>AV22</f>
        <v>Hintere Schulter</v>
      </c>
      <c r="AW44" s="10">
        <v>3</v>
      </c>
      <c r="AX44" s="29" t="s">
        <v>38</v>
      </c>
      <c r="AY44" s="44"/>
      <c r="AZ44" s="4" t="s">
        <v>3</v>
      </c>
      <c r="BA44" s="35"/>
      <c r="BB44" s="29" t="s">
        <v>32</v>
      </c>
      <c r="BC44" s="10"/>
      <c r="BD44" s="10"/>
      <c r="BE44" s="181"/>
      <c r="BF44" s="304"/>
      <c r="BG44" s="305"/>
      <c r="BH44" s="305"/>
      <c r="BI44" s="306"/>
    </row>
    <row r="45" spans="3:70" ht="16" x14ac:dyDescent="0.2">
      <c r="C45" s="7" t="str">
        <f>C23</f>
        <v>Rudern</v>
      </c>
      <c r="D45" s="8">
        <v>3</v>
      </c>
      <c r="E45" s="279" t="str">
        <f>IF(OR(C45="Pendlay Rudern"),"5","6-8")</f>
        <v>6-8</v>
      </c>
      <c r="F45" s="30"/>
      <c r="G45" s="5" t="s">
        <v>3</v>
      </c>
      <c r="H45" s="31"/>
      <c r="I45" s="8">
        <v>8</v>
      </c>
      <c r="J45" s="8"/>
      <c r="K45" s="8"/>
      <c r="L45" s="180"/>
      <c r="M45" s="312"/>
      <c r="N45" s="313"/>
      <c r="O45" s="313"/>
      <c r="P45" s="314"/>
      <c r="R45" s="7" t="s">
        <v>19</v>
      </c>
      <c r="S45" s="32" t="s">
        <v>36</v>
      </c>
      <c r="T45" s="32" t="s">
        <v>35</v>
      </c>
      <c r="U45" s="30"/>
      <c r="V45" s="5" t="s">
        <v>3</v>
      </c>
      <c r="W45" s="31"/>
      <c r="X45" s="32" t="s">
        <v>32</v>
      </c>
      <c r="Y45" s="8"/>
      <c r="Z45" s="8"/>
      <c r="AA45" s="180"/>
      <c r="AB45" s="312"/>
      <c r="AC45" s="313"/>
      <c r="AD45" s="313"/>
      <c r="AE45" s="314"/>
      <c r="AG45" s="118" t="s">
        <v>96</v>
      </c>
      <c r="AH45" s="8">
        <v>3</v>
      </c>
      <c r="AI45" s="8"/>
      <c r="AJ45" s="30"/>
      <c r="AK45" s="5" t="s">
        <v>3</v>
      </c>
      <c r="AL45" s="31"/>
      <c r="AM45" s="8"/>
      <c r="AN45" s="8"/>
      <c r="AO45" s="8"/>
      <c r="AP45" s="180"/>
      <c r="AQ45" s="312"/>
      <c r="AR45" s="313"/>
      <c r="AS45" s="313"/>
      <c r="AT45" s="314"/>
      <c r="AU45" s="25"/>
      <c r="AV45" s="112"/>
      <c r="AW45" s="113"/>
      <c r="AX45" s="113"/>
      <c r="AY45" s="111"/>
      <c r="AZ45" s="56"/>
      <c r="BA45" s="114"/>
      <c r="BB45" s="113"/>
      <c r="BC45" s="113"/>
      <c r="BD45" s="113"/>
      <c r="BE45" s="56"/>
      <c r="BF45" s="312"/>
      <c r="BG45" s="313"/>
      <c r="BH45" s="313"/>
      <c r="BI45" s="314"/>
    </row>
    <row r="46" spans="3:70" ht="17" thickBot="1" x14ac:dyDescent="0.25">
      <c r="C46" s="100" t="str">
        <f>C24</f>
        <v>Optional: Unterarmstütz/Ab Roll</v>
      </c>
      <c r="D46" s="101">
        <v>3</v>
      </c>
      <c r="E46" s="101"/>
      <c r="F46" s="102"/>
      <c r="G46" s="3" t="s">
        <v>3</v>
      </c>
      <c r="H46" s="103"/>
      <c r="I46" s="101"/>
      <c r="J46" s="101"/>
      <c r="K46" s="101"/>
      <c r="L46" s="184"/>
      <c r="M46" s="334"/>
      <c r="N46" s="335"/>
      <c r="O46" s="335"/>
      <c r="P46" s="336"/>
      <c r="R46" s="100" t="s">
        <v>20</v>
      </c>
      <c r="S46" s="109" t="s">
        <v>36</v>
      </c>
      <c r="T46" s="109" t="s">
        <v>35</v>
      </c>
      <c r="U46" s="102"/>
      <c r="V46" s="3" t="s">
        <v>3</v>
      </c>
      <c r="W46" s="103"/>
      <c r="X46" s="109" t="s">
        <v>32</v>
      </c>
      <c r="Y46" s="101"/>
      <c r="Z46" s="101"/>
      <c r="AA46" s="184"/>
      <c r="AB46" s="334"/>
      <c r="AC46" s="335"/>
      <c r="AD46" s="335"/>
      <c r="AE46" s="336"/>
      <c r="AG46" s="100"/>
      <c r="AH46" s="101"/>
      <c r="AI46" s="101"/>
      <c r="AJ46" s="102"/>
      <c r="AK46" s="3" t="s">
        <v>3</v>
      </c>
      <c r="AL46" s="103"/>
      <c r="AM46" s="101"/>
      <c r="AN46" s="101"/>
      <c r="AO46" s="101"/>
      <c r="AP46" s="184"/>
      <c r="AQ46" s="334"/>
      <c r="AR46" s="335"/>
      <c r="AS46" s="335"/>
      <c r="AT46" s="336"/>
      <c r="AU46" s="25"/>
      <c r="AV46" s="100"/>
      <c r="AW46" s="101"/>
      <c r="AX46" s="101"/>
      <c r="AY46" s="102"/>
      <c r="AZ46" s="3" t="s">
        <v>3</v>
      </c>
      <c r="BA46" s="103"/>
      <c r="BB46" s="101"/>
      <c r="BC46" s="101"/>
      <c r="BD46" s="101"/>
      <c r="BE46" s="184"/>
      <c r="BF46" s="334"/>
      <c r="BG46" s="335"/>
      <c r="BH46" s="335"/>
      <c r="BI46" s="336"/>
    </row>
    <row r="47" spans="3:70" x14ac:dyDescent="0.2">
      <c r="F47"/>
      <c r="H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</row>
    <row r="48" spans="3:70" ht="16" thickBot="1" x14ac:dyDescent="0.25">
      <c r="F48"/>
      <c r="H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</row>
    <row r="49" spans="3:61" ht="25" thickBot="1" x14ac:dyDescent="0.25">
      <c r="C49" s="95" t="s">
        <v>10</v>
      </c>
      <c r="D49" s="1"/>
      <c r="E49" s="1"/>
      <c r="F49" s="43"/>
      <c r="G49" s="1"/>
      <c r="H49" s="46"/>
      <c r="I49" s="183" t="s">
        <v>4</v>
      </c>
      <c r="J49" s="63">
        <f>(((K51*(E51+(10-L51))*0.029))+K51)</f>
        <v>0</v>
      </c>
      <c r="K49" s="1"/>
      <c r="L49" s="1"/>
      <c r="M49" s="1"/>
      <c r="N49" s="1"/>
      <c r="O49" s="1"/>
      <c r="P49" s="1"/>
      <c r="X49" s="183" t="s">
        <v>4</v>
      </c>
      <c r="Y49" s="63">
        <f>(((Z51*(T51+(10-AA51))*0.029))+Z51)</f>
        <v>0</v>
      </c>
      <c r="AM49" s="51"/>
      <c r="AN49" s="51"/>
      <c r="BB49" s="183" t="s">
        <v>4</v>
      </c>
      <c r="BC49" s="63">
        <f>(((BD51*(AX51+(10-BE51))*0.029))+BD51)</f>
        <v>0</v>
      </c>
    </row>
    <row r="50" spans="3:61" ht="20" thickBot="1" x14ac:dyDescent="0.3">
      <c r="C50" s="188" t="s">
        <v>111</v>
      </c>
      <c r="D50" s="299" t="s">
        <v>128</v>
      </c>
      <c r="E50" s="299" t="s">
        <v>54</v>
      </c>
      <c r="F50" s="308" t="s">
        <v>27</v>
      </c>
      <c r="G50" s="308"/>
      <c r="H50" s="309"/>
      <c r="I50" s="299" t="s">
        <v>5</v>
      </c>
      <c r="J50" s="299" t="s">
        <v>129</v>
      </c>
      <c r="K50" s="299" t="s">
        <v>7</v>
      </c>
      <c r="L50" s="298" t="s">
        <v>63</v>
      </c>
      <c r="M50" s="310" t="s">
        <v>6</v>
      </c>
      <c r="N50" s="308"/>
      <c r="O50" s="308"/>
      <c r="P50" s="311"/>
      <c r="R50" s="142" t="s">
        <v>116</v>
      </c>
      <c r="S50" s="299" t="s">
        <v>128</v>
      </c>
      <c r="T50" s="299" t="s">
        <v>54</v>
      </c>
      <c r="U50" s="308" t="s">
        <v>27</v>
      </c>
      <c r="V50" s="308"/>
      <c r="W50" s="309"/>
      <c r="X50" s="299" t="s">
        <v>5</v>
      </c>
      <c r="Y50" s="299" t="s">
        <v>129</v>
      </c>
      <c r="Z50" s="299" t="s">
        <v>7</v>
      </c>
      <c r="AA50" s="298" t="s">
        <v>63</v>
      </c>
      <c r="AB50" s="310" t="s">
        <v>6</v>
      </c>
      <c r="AC50" s="308"/>
      <c r="AD50" s="308"/>
      <c r="AE50" s="311"/>
      <c r="AG50" s="142" t="s">
        <v>121</v>
      </c>
      <c r="AH50" s="299" t="s">
        <v>128</v>
      </c>
      <c r="AI50" s="299" t="s">
        <v>54</v>
      </c>
      <c r="AJ50" s="308" t="s">
        <v>27</v>
      </c>
      <c r="AK50" s="308"/>
      <c r="AL50" s="309"/>
      <c r="AM50" s="299" t="s">
        <v>5</v>
      </c>
      <c r="AN50" s="299" t="s">
        <v>129</v>
      </c>
      <c r="AO50" s="299" t="s">
        <v>7</v>
      </c>
      <c r="AP50" s="298" t="s">
        <v>63</v>
      </c>
      <c r="AQ50" s="310" t="s">
        <v>6</v>
      </c>
      <c r="AR50" s="308"/>
      <c r="AS50" s="308"/>
      <c r="AT50" s="311"/>
      <c r="AU50" s="26"/>
      <c r="AV50" s="142" t="s">
        <v>126</v>
      </c>
      <c r="AW50" s="299" t="s">
        <v>128</v>
      </c>
      <c r="AX50" s="299" t="s">
        <v>54</v>
      </c>
      <c r="AY50" s="308" t="s">
        <v>27</v>
      </c>
      <c r="AZ50" s="308"/>
      <c r="BA50" s="309"/>
      <c r="BB50" s="299" t="s">
        <v>5</v>
      </c>
      <c r="BC50" s="299" t="s">
        <v>129</v>
      </c>
      <c r="BD50" s="299" t="s">
        <v>7</v>
      </c>
      <c r="BE50" s="298" t="s">
        <v>63</v>
      </c>
      <c r="BF50" s="310" t="s">
        <v>6</v>
      </c>
      <c r="BG50" s="308"/>
      <c r="BH50" s="308"/>
      <c r="BI50" s="311"/>
    </row>
    <row r="51" spans="3:61" ht="16" x14ac:dyDescent="0.2">
      <c r="C51" s="7" t="str">
        <f>C18</f>
        <v>WK-Kniebeuge</v>
      </c>
      <c r="D51" s="8">
        <v>1</v>
      </c>
      <c r="E51" s="8">
        <v>4</v>
      </c>
      <c r="F51" s="30">
        <f>(0.87*D10)-5</f>
        <v>-5</v>
      </c>
      <c r="G51" s="5" t="s">
        <v>3</v>
      </c>
      <c r="H51" s="31">
        <f>(0.87*D10)+5</f>
        <v>5</v>
      </c>
      <c r="I51" s="8">
        <v>9</v>
      </c>
      <c r="J51" s="119" t="s">
        <v>58</v>
      </c>
      <c r="K51" s="8">
        <v>0</v>
      </c>
      <c r="L51" s="180"/>
      <c r="M51" s="318"/>
      <c r="N51" s="319"/>
      <c r="O51" s="319"/>
      <c r="P51" s="320"/>
      <c r="R51" s="118" t="s">
        <v>94</v>
      </c>
      <c r="S51" s="8">
        <v>1</v>
      </c>
      <c r="T51" s="8">
        <v>4</v>
      </c>
      <c r="U51" s="30">
        <f>(0.87*H10)-5</f>
        <v>-5</v>
      </c>
      <c r="V51" s="5" t="s">
        <v>3</v>
      </c>
      <c r="W51" s="31">
        <f>(0.87*H10)+5</f>
        <v>5</v>
      </c>
      <c r="X51" s="8">
        <v>9</v>
      </c>
      <c r="Y51" s="8" t="s">
        <v>37</v>
      </c>
      <c r="Z51" s="8">
        <v>0</v>
      </c>
      <c r="AA51" s="180"/>
      <c r="AB51" s="318"/>
      <c r="AC51" s="319"/>
      <c r="AD51" s="319"/>
      <c r="AE51" s="320"/>
      <c r="AG51" s="7" t="s">
        <v>95</v>
      </c>
      <c r="AH51" s="8">
        <v>1</v>
      </c>
      <c r="AI51" s="8">
        <v>1</v>
      </c>
      <c r="AJ51" s="30">
        <f>(0.91*D13)-5</f>
        <v>-5</v>
      </c>
      <c r="AK51" s="5" t="s">
        <v>3</v>
      </c>
      <c r="AL51" s="31">
        <f>(0.91*D13)+5</f>
        <v>5</v>
      </c>
      <c r="AM51" s="8">
        <v>8</v>
      </c>
      <c r="AN51" s="8" t="s">
        <v>9</v>
      </c>
      <c r="AO51" s="8"/>
      <c r="AP51" s="180"/>
      <c r="AQ51" s="318"/>
      <c r="AR51" s="319"/>
      <c r="AS51" s="319"/>
      <c r="AT51" s="320"/>
      <c r="AU51" s="25"/>
      <c r="AV51" s="118" t="s">
        <v>93</v>
      </c>
      <c r="AW51" s="8">
        <v>1</v>
      </c>
      <c r="AX51" s="8">
        <v>4</v>
      </c>
      <c r="AY51" s="30">
        <f>(0.87*F10)-5</f>
        <v>-5</v>
      </c>
      <c r="AZ51" s="5" t="s">
        <v>3</v>
      </c>
      <c r="BA51" s="31">
        <f>(0.87*F10)+5</f>
        <v>5</v>
      </c>
      <c r="BB51" s="8">
        <v>9</v>
      </c>
      <c r="BC51" s="119" t="s">
        <v>57</v>
      </c>
      <c r="BD51" s="8"/>
      <c r="BE51" s="180"/>
      <c r="BF51" s="318"/>
      <c r="BG51" s="319"/>
      <c r="BH51" s="319"/>
      <c r="BI51" s="320"/>
    </row>
    <row r="52" spans="3:61" ht="16" x14ac:dyDescent="0.2">
      <c r="C52" s="39" t="str">
        <f>C18</f>
        <v>WK-Kniebeuge</v>
      </c>
      <c r="D52" s="8">
        <v>3</v>
      </c>
      <c r="E52" s="8">
        <v>4</v>
      </c>
      <c r="F52" s="315" t="s">
        <v>31</v>
      </c>
      <c r="G52" s="316"/>
      <c r="H52" s="317"/>
      <c r="I52" s="32" t="s">
        <v>32</v>
      </c>
      <c r="J52" s="119" t="s">
        <v>58</v>
      </c>
      <c r="K52" s="8"/>
      <c r="L52" s="180"/>
      <c r="M52" s="312"/>
      <c r="N52" s="313"/>
      <c r="O52" s="313"/>
      <c r="P52" s="314"/>
      <c r="R52" s="118" t="s">
        <v>94</v>
      </c>
      <c r="S52" s="8">
        <v>3</v>
      </c>
      <c r="T52" s="8">
        <v>4</v>
      </c>
      <c r="U52" s="315" t="s">
        <v>31</v>
      </c>
      <c r="V52" s="316"/>
      <c r="W52" s="317"/>
      <c r="X52" s="32" t="s">
        <v>32</v>
      </c>
      <c r="Y52" s="8" t="s">
        <v>37</v>
      </c>
      <c r="Z52" s="8"/>
      <c r="AA52" s="180"/>
      <c r="AB52" s="312"/>
      <c r="AC52" s="313"/>
      <c r="AD52" s="313"/>
      <c r="AE52" s="314"/>
      <c r="AG52" s="7" t="s">
        <v>95</v>
      </c>
      <c r="AH52" s="8">
        <v>4</v>
      </c>
      <c r="AI52" s="8">
        <v>5</v>
      </c>
      <c r="AJ52" s="30">
        <f>(0.81*D13)-5</f>
        <v>-5</v>
      </c>
      <c r="AK52" s="5" t="s">
        <v>3</v>
      </c>
      <c r="AL52" s="31">
        <f>(0.81*D13)+5</f>
        <v>5</v>
      </c>
      <c r="AM52" s="8">
        <v>9</v>
      </c>
      <c r="AN52" s="8" t="s">
        <v>9</v>
      </c>
      <c r="AO52" s="8"/>
      <c r="AP52" s="180"/>
      <c r="AQ52" s="312"/>
      <c r="AR52" s="313"/>
      <c r="AS52" s="313"/>
      <c r="AT52" s="314"/>
      <c r="AV52" s="118" t="s">
        <v>93</v>
      </c>
      <c r="AW52" s="8">
        <v>3</v>
      </c>
      <c r="AX52" s="8">
        <v>4</v>
      </c>
      <c r="AY52" s="315" t="s">
        <v>31</v>
      </c>
      <c r="AZ52" s="316"/>
      <c r="BA52" s="317"/>
      <c r="BB52" s="32" t="s">
        <v>32</v>
      </c>
      <c r="BC52" s="119" t="s">
        <v>57</v>
      </c>
      <c r="BD52" s="57"/>
      <c r="BE52" s="185"/>
      <c r="BF52" s="312"/>
      <c r="BG52" s="313"/>
      <c r="BH52" s="313"/>
      <c r="BI52" s="314"/>
    </row>
    <row r="53" spans="3:61" ht="16" x14ac:dyDescent="0.2">
      <c r="C53" s="192" t="s">
        <v>93</v>
      </c>
      <c r="D53" s="10">
        <v>3</v>
      </c>
      <c r="E53" s="10">
        <v>6</v>
      </c>
      <c r="F53" s="44">
        <f>(0.77*F10)-5</f>
        <v>-5</v>
      </c>
      <c r="G53" s="4" t="s">
        <v>3</v>
      </c>
      <c r="H53" s="35">
        <f>(0.77*F10)+5</f>
        <v>5</v>
      </c>
      <c r="I53" s="10">
        <v>9</v>
      </c>
      <c r="J53" s="121" t="s">
        <v>57</v>
      </c>
      <c r="K53" s="10"/>
      <c r="L53" s="181"/>
      <c r="M53" s="304"/>
      <c r="N53" s="305"/>
      <c r="O53" s="305"/>
      <c r="P53" s="306"/>
      <c r="R53" s="9" t="str">
        <f>R20</f>
        <v>Bankdrücken - Variation</v>
      </c>
      <c r="S53" s="10">
        <v>3</v>
      </c>
      <c r="T53" s="10">
        <v>3</v>
      </c>
      <c r="U53" s="44">
        <f>IF(R20="3ct. WK-Bankdrücken",(F11*0.83)-5,(F12*0.83)-5)</f>
        <v>-5</v>
      </c>
      <c r="V53" s="4" t="s">
        <v>3</v>
      </c>
      <c r="W53" s="35">
        <f>IF(R20="3ct. WK-Bankdrücken",(F11*0.83)+5,(F12*0.83)+5)</f>
        <v>5</v>
      </c>
      <c r="X53" s="10">
        <v>8</v>
      </c>
      <c r="Y53" s="121" t="s">
        <v>57</v>
      </c>
      <c r="Z53" s="10"/>
      <c r="AA53" s="181"/>
      <c r="AB53" s="304"/>
      <c r="AC53" s="305"/>
      <c r="AD53" s="305"/>
      <c r="AE53" s="306"/>
      <c r="AG53" s="9" t="str">
        <f>AG31</f>
        <v>Kreuzheben - Variation</v>
      </c>
      <c r="AH53" s="10">
        <v>3</v>
      </c>
      <c r="AI53" s="10">
        <f>IF(AG31="Kreuzheben im Reißgriff",6,8)</f>
        <v>8</v>
      </c>
      <c r="AJ53" s="44"/>
      <c r="AK53" s="4" t="s">
        <v>3</v>
      </c>
      <c r="AL53" s="35"/>
      <c r="AM53" s="10">
        <v>9</v>
      </c>
      <c r="AN53" s="121" t="s">
        <v>56</v>
      </c>
      <c r="AO53" s="10"/>
      <c r="AP53" s="181"/>
      <c r="AQ53" s="304"/>
      <c r="AR53" s="305"/>
      <c r="AS53" s="305"/>
      <c r="AT53" s="306"/>
      <c r="AU53" s="25"/>
      <c r="AV53" s="120" t="s">
        <v>99</v>
      </c>
      <c r="AW53" s="10">
        <v>2</v>
      </c>
      <c r="AX53" s="10">
        <v>6</v>
      </c>
      <c r="AY53" s="44">
        <f>(0.76*F13)-5</f>
        <v>-5</v>
      </c>
      <c r="AZ53" s="4" t="s">
        <v>3</v>
      </c>
      <c r="BA53" s="35">
        <f>(0.76*F13)+5</f>
        <v>5</v>
      </c>
      <c r="BB53" s="10">
        <v>8</v>
      </c>
      <c r="BC53" s="121" t="s">
        <v>57</v>
      </c>
      <c r="BD53" s="10"/>
      <c r="BE53" s="181"/>
      <c r="BF53" s="304"/>
      <c r="BG53" s="305"/>
      <c r="BH53" s="305"/>
      <c r="BI53" s="306"/>
    </row>
    <row r="54" spans="3:61" ht="16" x14ac:dyDescent="0.2">
      <c r="C54" s="7" t="str">
        <f>C21</f>
        <v>Unterkörperübung, unilateral</v>
      </c>
      <c r="D54" s="8">
        <v>3</v>
      </c>
      <c r="E54" s="8">
        <v>8</v>
      </c>
      <c r="F54" s="30"/>
      <c r="G54" s="5" t="s">
        <v>3</v>
      </c>
      <c r="H54" s="31"/>
      <c r="I54" s="32" t="s">
        <v>32</v>
      </c>
      <c r="J54" s="8"/>
      <c r="K54" s="8"/>
      <c r="L54" s="180"/>
      <c r="M54" s="312"/>
      <c r="N54" s="313"/>
      <c r="O54" s="313"/>
      <c r="P54" s="314"/>
      <c r="R54" s="7" t="str">
        <f>R21</f>
        <v>Kniebeuge - Variation</v>
      </c>
      <c r="S54" s="8">
        <v>3</v>
      </c>
      <c r="T54" s="8">
        <v>3</v>
      </c>
      <c r="U54" s="30">
        <f>IF(R21="2ct. WK-Kniebeuge",(D11*0.83)-5,(D12*0.83)-5)</f>
        <v>-5</v>
      </c>
      <c r="V54" s="5" t="s">
        <v>3</v>
      </c>
      <c r="W54" s="31">
        <f>IF(R21="2ct. WK-Kniebeuge",(D11*0.83)+5,(D12*0.83)+5)</f>
        <v>5</v>
      </c>
      <c r="X54" s="8">
        <v>8</v>
      </c>
      <c r="Y54" s="119" t="s">
        <v>58</v>
      </c>
      <c r="Z54" s="8"/>
      <c r="AA54" s="180"/>
      <c r="AB54" s="312"/>
      <c r="AC54" s="313"/>
      <c r="AD54" s="313"/>
      <c r="AE54" s="314"/>
      <c r="AG54" s="7" t="str">
        <f>AG21</f>
        <v>Rudern</v>
      </c>
      <c r="AH54" s="8">
        <v>3</v>
      </c>
      <c r="AI54" s="28" t="s">
        <v>38</v>
      </c>
      <c r="AJ54" s="30"/>
      <c r="AK54" s="5" t="s">
        <v>3</v>
      </c>
      <c r="AL54" s="31"/>
      <c r="AM54" s="32" t="s">
        <v>32</v>
      </c>
      <c r="AN54" s="8"/>
      <c r="AO54" s="8"/>
      <c r="AP54" s="180"/>
      <c r="AQ54" s="312"/>
      <c r="AR54" s="313"/>
      <c r="AS54" s="313"/>
      <c r="AT54" s="314"/>
      <c r="AU54" s="25"/>
      <c r="AV54" s="7" t="str">
        <f>AV21</f>
        <v>Latzug</v>
      </c>
      <c r="AW54" s="8">
        <v>3</v>
      </c>
      <c r="AX54" s="291" t="s">
        <v>38</v>
      </c>
      <c r="AY54" s="81"/>
      <c r="AZ54" s="5" t="s">
        <v>3</v>
      </c>
      <c r="BA54" s="82"/>
      <c r="BB54" s="32" t="s">
        <v>32</v>
      </c>
      <c r="BC54" s="8"/>
      <c r="BD54" s="8"/>
      <c r="BE54" s="180"/>
      <c r="BF54" s="312"/>
      <c r="BG54" s="313"/>
      <c r="BH54" s="313"/>
      <c r="BI54" s="314"/>
    </row>
    <row r="55" spans="3:61" ht="16" x14ac:dyDescent="0.2">
      <c r="C55" s="9" t="str">
        <f>C22</f>
        <v>Oberkörper Drückbewegung</v>
      </c>
      <c r="D55" s="10">
        <v>3</v>
      </c>
      <c r="E55" s="10">
        <f>IF(OR(C55="Dips",C55="LH Schulterdrücken"),5,6)</f>
        <v>6</v>
      </c>
      <c r="F55" s="89"/>
      <c r="G55" s="4" t="s">
        <v>3</v>
      </c>
      <c r="H55" s="90"/>
      <c r="I55" s="10">
        <v>9</v>
      </c>
      <c r="J55" s="10"/>
      <c r="K55" s="10"/>
      <c r="L55" s="181"/>
      <c r="M55" s="304"/>
      <c r="N55" s="305"/>
      <c r="O55" s="305"/>
      <c r="P55" s="306"/>
      <c r="R55" s="9" t="str">
        <f>R22</f>
        <v>Oberkörper Drückbewegung</v>
      </c>
      <c r="S55" s="10">
        <v>2</v>
      </c>
      <c r="T55" s="10" t="str">
        <f>IF(OR(R55="Dips",R55="Military Press"),"6-8","8-10")</f>
        <v>8-10</v>
      </c>
      <c r="U55" s="44"/>
      <c r="V55" s="4" t="s">
        <v>3</v>
      </c>
      <c r="W55" s="35"/>
      <c r="X55" s="29" t="s">
        <v>32</v>
      </c>
      <c r="Y55" s="10"/>
      <c r="Z55" s="10"/>
      <c r="AA55" s="181"/>
      <c r="AB55" s="304"/>
      <c r="AC55" s="305"/>
      <c r="AD55" s="305"/>
      <c r="AE55" s="306"/>
      <c r="AG55" s="9" t="s">
        <v>24</v>
      </c>
      <c r="AH55" s="10">
        <v>3</v>
      </c>
      <c r="AI55" s="10">
        <v>6</v>
      </c>
      <c r="AJ55" s="44"/>
      <c r="AK55" s="4" t="s">
        <v>3</v>
      </c>
      <c r="AL55" s="35"/>
      <c r="AM55" s="29" t="s">
        <v>32</v>
      </c>
      <c r="AN55" s="10"/>
      <c r="AO55" s="10"/>
      <c r="AP55" s="181"/>
      <c r="AQ55" s="304"/>
      <c r="AR55" s="305"/>
      <c r="AS55" s="305"/>
      <c r="AT55" s="306"/>
      <c r="AU55" s="25"/>
      <c r="AV55" s="9" t="str">
        <f>AV22</f>
        <v>Hintere Schulter</v>
      </c>
      <c r="AW55" s="10">
        <v>3</v>
      </c>
      <c r="AX55" s="29" t="s">
        <v>38</v>
      </c>
      <c r="AY55" s="44"/>
      <c r="AZ55" s="4" t="s">
        <v>3</v>
      </c>
      <c r="BA55" s="35"/>
      <c r="BB55" s="29" t="s">
        <v>32</v>
      </c>
      <c r="BC55" s="10"/>
      <c r="BD55" s="10"/>
      <c r="BE55" s="181"/>
      <c r="BF55" s="304"/>
      <c r="BG55" s="305"/>
      <c r="BH55" s="305"/>
      <c r="BI55" s="306"/>
    </row>
    <row r="56" spans="3:61" ht="16" x14ac:dyDescent="0.2">
      <c r="C56" s="7" t="str">
        <f>C23</f>
        <v>Rudern</v>
      </c>
      <c r="D56" s="8">
        <v>3</v>
      </c>
      <c r="E56" s="279" t="str">
        <f>IF(OR(C56="Pendlay Rudern"),"5","6-8")</f>
        <v>6-8</v>
      </c>
      <c r="F56" s="30"/>
      <c r="G56" s="5" t="s">
        <v>3</v>
      </c>
      <c r="H56" s="31"/>
      <c r="I56" s="8">
        <v>9</v>
      </c>
      <c r="J56" s="8"/>
      <c r="K56" s="8"/>
      <c r="L56" s="180"/>
      <c r="M56" s="312"/>
      <c r="N56" s="313"/>
      <c r="O56" s="313"/>
      <c r="P56" s="314"/>
      <c r="R56" s="7" t="s">
        <v>19</v>
      </c>
      <c r="S56" s="32" t="s">
        <v>36</v>
      </c>
      <c r="T56" s="32" t="s">
        <v>35</v>
      </c>
      <c r="U56" s="30"/>
      <c r="V56" s="5" t="s">
        <v>3</v>
      </c>
      <c r="W56" s="31"/>
      <c r="X56" s="32" t="s">
        <v>32</v>
      </c>
      <c r="Y56" s="8"/>
      <c r="Z56" s="8"/>
      <c r="AA56" s="180"/>
      <c r="AB56" s="312"/>
      <c r="AC56" s="313"/>
      <c r="AD56" s="313"/>
      <c r="AE56" s="314"/>
      <c r="AG56" s="118" t="s">
        <v>96</v>
      </c>
      <c r="AH56" s="8">
        <v>3</v>
      </c>
      <c r="AI56" s="8"/>
      <c r="AJ56" s="30"/>
      <c r="AK56" s="5" t="s">
        <v>3</v>
      </c>
      <c r="AL56" s="31"/>
      <c r="AM56" s="8"/>
      <c r="AN56" s="8"/>
      <c r="AO56" s="8"/>
      <c r="AP56" s="180"/>
      <c r="AQ56" s="312"/>
      <c r="AR56" s="313"/>
      <c r="AS56" s="313"/>
      <c r="AT56" s="314"/>
      <c r="AU56" s="25"/>
      <c r="AV56" s="112"/>
      <c r="AW56" s="113"/>
      <c r="AX56" s="113"/>
      <c r="AY56" s="111"/>
      <c r="AZ56" s="56"/>
      <c r="BA56" s="114"/>
      <c r="BB56" s="113"/>
      <c r="BC56" s="113"/>
      <c r="BD56" s="113"/>
      <c r="BE56" s="56"/>
      <c r="BF56" s="312"/>
      <c r="BG56" s="313"/>
      <c r="BH56" s="313"/>
      <c r="BI56" s="314"/>
    </row>
    <row r="57" spans="3:61" ht="17" thickBot="1" x14ac:dyDescent="0.25">
      <c r="C57" s="100" t="str">
        <f>C24</f>
        <v>Optional: Unterarmstütz/Ab Roll</v>
      </c>
      <c r="D57" s="101">
        <v>3</v>
      </c>
      <c r="E57" s="101"/>
      <c r="F57" s="102"/>
      <c r="G57" s="3" t="s">
        <v>3</v>
      </c>
      <c r="H57" s="103"/>
      <c r="I57" s="101"/>
      <c r="J57" s="101"/>
      <c r="K57" s="101"/>
      <c r="L57" s="184"/>
      <c r="M57" s="334"/>
      <c r="N57" s="335"/>
      <c r="O57" s="335"/>
      <c r="P57" s="336"/>
      <c r="R57" s="100" t="s">
        <v>20</v>
      </c>
      <c r="S57" s="109" t="s">
        <v>36</v>
      </c>
      <c r="T57" s="109" t="s">
        <v>35</v>
      </c>
      <c r="U57" s="102"/>
      <c r="V57" s="3" t="s">
        <v>3</v>
      </c>
      <c r="W57" s="103"/>
      <c r="X57" s="109" t="s">
        <v>32</v>
      </c>
      <c r="Y57" s="101"/>
      <c r="Z57" s="101"/>
      <c r="AA57" s="184"/>
      <c r="AB57" s="334"/>
      <c r="AC57" s="335"/>
      <c r="AD57" s="335"/>
      <c r="AE57" s="336"/>
      <c r="AG57" s="100"/>
      <c r="AH57" s="101"/>
      <c r="AI57" s="101"/>
      <c r="AJ57" s="102"/>
      <c r="AK57" s="3" t="s">
        <v>3</v>
      </c>
      <c r="AL57" s="103"/>
      <c r="AM57" s="101"/>
      <c r="AN57" s="101"/>
      <c r="AO57" s="101"/>
      <c r="AP57" s="184"/>
      <c r="AQ57" s="334"/>
      <c r="AR57" s="335"/>
      <c r="AS57" s="335"/>
      <c r="AT57" s="336"/>
      <c r="AU57" s="25"/>
      <c r="AV57" s="100"/>
      <c r="AW57" s="101"/>
      <c r="AX57" s="101"/>
      <c r="AY57" s="102"/>
      <c r="AZ57" s="3" t="s">
        <v>3</v>
      </c>
      <c r="BA57" s="103"/>
      <c r="BB57" s="101"/>
      <c r="BC57" s="101"/>
      <c r="BD57" s="101"/>
      <c r="BE57" s="184"/>
      <c r="BF57" s="334"/>
      <c r="BG57" s="335"/>
      <c r="BH57" s="335"/>
      <c r="BI57" s="336"/>
    </row>
    <row r="58" spans="3:61" x14ac:dyDescent="0.2">
      <c r="F58"/>
      <c r="H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</row>
    <row r="59" spans="3:61" ht="16" thickBot="1" x14ac:dyDescent="0.25"/>
    <row r="60" spans="3:61" ht="25" thickBot="1" x14ac:dyDescent="0.25">
      <c r="C60" s="95" t="s">
        <v>39</v>
      </c>
      <c r="D60" s="1"/>
      <c r="E60" s="1"/>
      <c r="F60" s="43"/>
      <c r="G60" s="1"/>
      <c r="H60" s="46"/>
      <c r="I60" s="1"/>
      <c r="J60" s="1"/>
      <c r="K60" s="1"/>
      <c r="L60" s="1"/>
      <c r="M60" s="1"/>
      <c r="N60" s="1"/>
      <c r="O60" s="1"/>
      <c r="P60" s="1"/>
    </row>
    <row r="61" spans="3:61" ht="20" thickBot="1" x14ac:dyDescent="0.3">
      <c r="C61" s="188" t="s">
        <v>112</v>
      </c>
      <c r="D61" s="299" t="s">
        <v>128</v>
      </c>
      <c r="E61" s="299" t="s">
        <v>54</v>
      </c>
      <c r="F61" s="308" t="s">
        <v>27</v>
      </c>
      <c r="G61" s="308"/>
      <c r="H61" s="309"/>
      <c r="I61" s="299" t="s">
        <v>5</v>
      </c>
      <c r="J61" s="299" t="s">
        <v>129</v>
      </c>
      <c r="K61" s="299" t="s">
        <v>7</v>
      </c>
      <c r="L61" s="298" t="s">
        <v>63</v>
      </c>
      <c r="M61" s="310" t="s">
        <v>6</v>
      </c>
      <c r="N61" s="308"/>
      <c r="O61" s="308"/>
      <c r="P61" s="311"/>
      <c r="R61" s="142" t="s">
        <v>117</v>
      </c>
      <c r="S61" s="299" t="s">
        <v>128</v>
      </c>
      <c r="T61" s="299" t="s">
        <v>54</v>
      </c>
      <c r="U61" s="308" t="s">
        <v>27</v>
      </c>
      <c r="V61" s="308"/>
      <c r="W61" s="309"/>
      <c r="X61" s="299" t="s">
        <v>5</v>
      </c>
      <c r="Y61" s="299" t="s">
        <v>129</v>
      </c>
      <c r="Z61" s="299" t="s">
        <v>7</v>
      </c>
      <c r="AA61" s="298" t="s">
        <v>63</v>
      </c>
      <c r="AB61" s="310" t="s">
        <v>6</v>
      </c>
      <c r="AC61" s="308"/>
      <c r="AD61" s="308"/>
      <c r="AE61" s="311"/>
      <c r="AG61" s="142" t="s">
        <v>122</v>
      </c>
      <c r="AH61" s="299" t="s">
        <v>128</v>
      </c>
      <c r="AI61" s="299" t="s">
        <v>54</v>
      </c>
      <c r="AJ61" s="308" t="s">
        <v>27</v>
      </c>
      <c r="AK61" s="308"/>
      <c r="AL61" s="309"/>
      <c r="AM61" s="299" t="s">
        <v>5</v>
      </c>
      <c r="AN61" s="299" t="s">
        <v>129</v>
      </c>
      <c r="AO61" s="299" t="s">
        <v>7</v>
      </c>
      <c r="AP61" s="298" t="s">
        <v>63</v>
      </c>
      <c r="AQ61" s="310" t="s">
        <v>6</v>
      </c>
      <c r="AR61" s="308"/>
      <c r="AS61" s="308"/>
      <c r="AT61" s="311"/>
      <c r="AU61" s="26"/>
      <c r="AV61" s="142" t="s">
        <v>127</v>
      </c>
      <c r="AW61" s="299" t="s">
        <v>128</v>
      </c>
      <c r="AX61" s="299" t="s">
        <v>54</v>
      </c>
      <c r="AY61" s="308" t="s">
        <v>27</v>
      </c>
      <c r="AZ61" s="308"/>
      <c r="BA61" s="309"/>
      <c r="BB61" s="299" t="s">
        <v>5</v>
      </c>
      <c r="BC61" s="299" t="s">
        <v>129</v>
      </c>
      <c r="BD61" s="299" t="s">
        <v>7</v>
      </c>
      <c r="BE61" s="298" t="s">
        <v>63</v>
      </c>
      <c r="BF61" s="310" t="s">
        <v>6</v>
      </c>
      <c r="BG61" s="308"/>
      <c r="BH61" s="308"/>
      <c r="BI61" s="311"/>
    </row>
    <row r="62" spans="3:61" ht="16" x14ac:dyDescent="0.2">
      <c r="C62" s="7" t="str">
        <f>C18</f>
        <v>WK-Kniebeuge</v>
      </c>
      <c r="D62" s="8">
        <v>3</v>
      </c>
      <c r="E62" s="8">
        <v>3</v>
      </c>
      <c r="F62" s="30">
        <f>(0.78*D10)-5</f>
        <v>-5</v>
      </c>
      <c r="G62" s="5" t="s">
        <v>3</v>
      </c>
      <c r="H62" s="31">
        <f>(0.78*D10)+5</f>
        <v>5</v>
      </c>
      <c r="I62" s="28" t="s">
        <v>29</v>
      </c>
      <c r="J62" s="8" t="s">
        <v>9</v>
      </c>
      <c r="K62" s="8"/>
      <c r="L62" s="180"/>
      <c r="M62" s="318"/>
      <c r="N62" s="319"/>
      <c r="O62" s="319"/>
      <c r="P62" s="320"/>
      <c r="R62" s="118" t="s">
        <v>94</v>
      </c>
      <c r="S62" s="8">
        <v>3</v>
      </c>
      <c r="T62" s="8">
        <v>3</v>
      </c>
      <c r="U62" s="30">
        <f>(0.78*H10)-5</f>
        <v>-5</v>
      </c>
      <c r="V62" s="5" t="s">
        <v>3</v>
      </c>
      <c r="W62" s="31">
        <f>(0.78*H10)+5</f>
        <v>5</v>
      </c>
      <c r="X62" s="28" t="s">
        <v>29</v>
      </c>
      <c r="Y62" s="8" t="s">
        <v>37</v>
      </c>
      <c r="Z62" s="8"/>
      <c r="AA62" s="180"/>
      <c r="AB62" s="318"/>
      <c r="AC62" s="319"/>
      <c r="AD62" s="319"/>
      <c r="AE62" s="320"/>
      <c r="AG62" s="7" t="str">
        <f>AG18</f>
        <v>Highbar Kniebeuge</v>
      </c>
      <c r="AH62" s="8">
        <v>3</v>
      </c>
      <c r="AI62" s="8">
        <v>4</v>
      </c>
      <c r="AJ62" s="30">
        <f>(0.75*D13)-5</f>
        <v>-5</v>
      </c>
      <c r="AK62" s="5" t="s">
        <v>3</v>
      </c>
      <c r="AL62" s="31">
        <f>(0.75*D13)+5</f>
        <v>5</v>
      </c>
      <c r="AM62" s="32" t="s">
        <v>29</v>
      </c>
      <c r="AN62" s="8" t="s">
        <v>9</v>
      </c>
      <c r="AO62" s="8"/>
      <c r="AP62" s="180"/>
      <c r="AQ62" s="318"/>
      <c r="AR62" s="319"/>
      <c r="AS62" s="319"/>
      <c r="AT62" s="320"/>
      <c r="AU62" s="25"/>
      <c r="AV62" s="7" t="str">
        <f>AV18</f>
        <v>WK-Bankdrücken</v>
      </c>
      <c r="AW62" s="8">
        <v>3</v>
      </c>
      <c r="AX62" s="8">
        <v>3</v>
      </c>
      <c r="AY62" s="30">
        <f>(0.78*F10)-5</f>
        <v>-5</v>
      </c>
      <c r="AZ62" s="5" t="s">
        <v>3</v>
      </c>
      <c r="BA62" s="31">
        <f>(0.78*F10)+5</f>
        <v>5</v>
      </c>
      <c r="BB62" s="28" t="s">
        <v>29</v>
      </c>
      <c r="BC62" s="119" t="s">
        <v>57</v>
      </c>
      <c r="BD62" s="8"/>
      <c r="BE62" s="180"/>
      <c r="BF62" s="318"/>
      <c r="BG62" s="319"/>
      <c r="BH62" s="319"/>
      <c r="BI62" s="320"/>
    </row>
    <row r="63" spans="3:61" ht="16" x14ac:dyDescent="0.2">
      <c r="C63" s="9" t="str">
        <f>C20</f>
        <v>WK-Bankdrücken</v>
      </c>
      <c r="D63" s="10">
        <v>3</v>
      </c>
      <c r="E63" s="10">
        <v>5</v>
      </c>
      <c r="F63" s="44">
        <f>(0.74*F10)-5</f>
        <v>-5</v>
      </c>
      <c r="G63" s="4" t="s">
        <v>3</v>
      </c>
      <c r="H63" s="35">
        <f>(0.74*F10)+5</f>
        <v>5</v>
      </c>
      <c r="I63" s="29" t="s">
        <v>29</v>
      </c>
      <c r="J63" s="121" t="s">
        <v>57</v>
      </c>
      <c r="K63" s="10"/>
      <c r="L63" s="181"/>
      <c r="M63" s="78"/>
      <c r="N63" s="79"/>
      <c r="O63" s="79"/>
      <c r="P63" s="80"/>
      <c r="R63" s="9" t="str">
        <f>R20</f>
        <v>Bankdrücken - Variation</v>
      </c>
      <c r="S63" s="10">
        <v>2</v>
      </c>
      <c r="T63" s="10">
        <v>2</v>
      </c>
      <c r="U63" s="44">
        <f>IF(R20="3ct. WK-Bankdrücken",(F11*0.8)-5,(F12*0.8)-5)</f>
        <v>-5</v>
      </c>
      <c r="V63" s="4" t="s">
        <v>3</v>
      </c>
      <c r="W63" s="35">
        <f>IF(R20="3ct. WK-Bankdrücken",(F11*0.8)+5,(F12*0.8)+5)</f>
        <v>5</v>
      </c>
      <c r="X63" s="29" t="s">
        <v>29</v>
      </c>
      <c r="Y63" s="121" t="s">
        <v>57</v>
      </c>
      <c r="Z63" s="10"/>
      <c r="AA63" s="181"/>
      <c r="AB63" s="78"/>
      <c r="AC63" s="79"/>
      <c r="AD63" s="79"/>
      <c r="AE63" s="80"/>
      <c r="AG63" s="9" t="str">
        <f>AG20</f>
        <v>Kreuzheben - Variation</v>
      </c>
      <c r="AH63" s="10">
        <v>2</v>
      </c>
      <c r="AI63" s="10">
        <v>4</v>
      </c>
      <c r="AJ63" s="44">
        <f>IF(AG20="1ct. WK-Kreuzheben",((0.75*H12)-5),((0.75*H11)-5))</f>
        <v>-5</v>
      </c>
      <c r="AK63" s="4" t="s">
        <v>3</v>
      </c>
      <c r="AL63" s="35">
        <f>IF(AG20="1ct. WK-Kreuzheben",((0.75*H12)+5),((0.75*H11)+5))</f>
        <v>5</v>
      </c>
      <c r="AM63" s="143" t="s">
        <v>29</v>
      </c>
      <c r="AN63" s="121" t="s">
        <v>37</v>
      </c>
      <c r="AO63" s="10"/>
      <c r="AP63" s="181"/>
      <c r="AQ63" s="78"/>
      <c r="AR63" s="79"/>
      <c r="AS63" s="79"/>
      <c r="AT63" s="80"/>
      <c r="AU63" s="25"/>
      <c r="AV63" s="9" t="str">
        <f>AV20</f>
        <v>Enges Bankdrücken</v>
      </c>
      <c r="AW63" s="10">
        <v>2</v>
      </c>
      <c r="AX63" s="10">
        <v>4</v>
      </c>
      <c r="AY63" s="44">
        <f>(0.75*F13)-5</f>
        <v>-5</v>
      </c>
      <c r="AZ63" s="4" t="s">
        <v>3</v>
      </c>
      <c r="BA63" s="35">
        <f>(0.75*F13)+5</f>
        <v>5</v>
      </c>
      <c r="BB63" s="10" t="s">
        <v>29</v>
      </c>
      <c r="BC63" s="121" t="s">
        <v>57</v>
      </c>
      <c r="BD63" s="10"/>
      <c r="BE63" s="181"/>
      <c r="BF63" s="78"/>
      <c r="BG63" s="79"/>
      <c r="BH63" s="79"/>
      <c r="BI63" s="80"/>
    </row>
    <row r="64" spans="3:61" ht="16" x14ac:dyDescent="0.2">
      <c r="C64" s="7" t="str">
        <f>C21</f>
        <v>Unterkörperübung, unilateral</v>
      </c>
      <c r="D64" s="8">
        <v>2</v>
      </c>
      <c r="E64" s="8">
        <v>6</v>
      </c>
      <c r="F64" s="30"/>
      <c r="G64" s="5" t="s">
        <v>3</v>
      </c>
      <c r="H64" s="31"/>
      <c r="I64" s="8">
        <v>7</v>
      </c>
      <c r="J64" s="8"/>
      <c r="K64" s="8"/>
      <c r="L64" s="180"/>
      <c r="M64" s="312"/>
      <c r="N64" s="313"/>
      <c r="O64" s="313"/>
      <c r="P64" s="314"/>
      <c r="R64" s="7" t="str">
        <f>R21</f>
        <v>Kniebeuge - Variation</v>
      </c>
      <c r="S64" s="8">
        <v>2</v>
      </c>
      <c r="T64" s="8">
        <v>2</v>
      </c>
      <c r="U64" s="30">
        <f>IF(R21="2ct. WK-Kniebeuge",(D11*0.8)-5,(D12*0.8)-5)</f>
        <v>-5</v>
      </c>
      <c r="V64" s="5" t="s">
        <v>3</v>
      </c>
      <c r="W64" s="31">
        <f>IF(R21="2ct. WK-Kniebeuge",(D11*0.8)+5,(D12*0.8)+5)</f>
        <v>5</v>
      </c>
      <c r="X64" s="28" t="s">
        <v>29</v>
      </c>
      <c r="Y64" s="119" t="s">
        <v>58</v>
      </c>
      <c r="Z64" s="8"/>
      <c r="AA64" s="180"/>
      <c r="AB64" s="312"/>
      <c r="AC64" s="313"/>
      <c r="AD64" s="313"/>
      <c r="AE64" s="314"/>
      <c r="AG64" s="7" t="str">
        <f>AG21</f>
        <v>Rudern</v>
      </c>
      <c r="AH64" s="8">
        <v>3</v>
      </c>
      <c r="AI64" s="8">
        <v>6</v>
      </c>
      <c r="AJ64" s="30"/>
      <c r="AK64" s="5" t="s">
        <v>3</v>
      </c>
      <c r="AL64" s="31"/>
      <c r="AM64" s="8">
        <v>6</v>
      </c>
      <c r="AN64" s="8"/>
      <c r="AO64" s="8"/>
      <c r="AP64" s="180"/>
      <c r="AQ64" s="312"/>
      <c r="AR64" s="313"/>
      <c r="AS64" s="313"/>
      <c r="AT64" s="314"/>
      <c r="AU64" s="25"/>
      <c r="AV64" s="7" t="str">
        <f>AV21</f>
        <v>Latzug</v>
      </c>
      <c r="AW64" s="8">
        <v>2</v>
      </c>
      <c r="AX64" s="8">
        <v>6</v>
      </c>
      <c r="AY64" s="81"/>
      <c r="AZ64" s="5" t="s">
        <v>3</v>
      </c>
      <c r="BA64" s="82"/>
      <c r="BB64" s="8">
        <v>6</v>
      </c>
      <c r="BC64" s="8"/>
      <c r="BD64" s="8"/>
      <c r="BE64" s="180"/>
      <c r="BF64" s="312"/>
      <c r="BG64" s="313"/>
      <c r="BH64" s="313"/>
      <c r="BI64" s="314"/>
    </row>
    <row r="65" spans="3:61" ht="16" x14ac:dyDescent="0.2">
      <c r="C65" s="9" t="str">
        <f>C22</f>
        <v>Oberkörper Drückbewegung</v>
      </c>
      <c r="D65" s="10">
        <v>2</v>
      </c>
      <c r="E65" s="10">
        <f>IF(OR(C66="Dips",C66="LH Schulterdrücken"),5,6)</f>
        <v>6</v>
      </c>
      <c r="F65" s="89"/>
      <c r="G65" s="4" t="s">
        <v>3</v>
      </c>
      <c r="H65" s="90"/>
      <c r="I65" s="10">
        <v>7</v>
      </c>
      <c r="J65" s="10"/>
      <c r="K65" s="10"/>
      <c r="L65" s="181"/>
      <c r="M65" s="304"/>
      <c r="N65" s="305"/>
      <c r="O65" s="305"/>
      <c r="P65" s="306"/>
      <c r="R65" s="9" t="str">
        <f>R22</f>
        <v>Oberkörper Drückbewegung</v>
      </c>
      <c r="S65" s="10">
        <v>2</v>
      </c>
      <c r="T65" s="10">
        <v>6</v>
      </c>
      <c r="U65" s="44"/>
      <c r="V65" s="4" t="s">
        <v>3</v>
      </c>
      <c r="W65" s="35"/>
      <c r="X65" s="10">
        <v>7</v>
      </c>
      <c r="Y65" s="10"/>
      <c r="Z65" s="10"/>
      <c r="AA65" s="181"/>
      <c r="AB65" s="304"/>
      <c r="AC65" s="305"/>
      <c r="AD65" s="305"/>
      <c r="AE65" s="306"/>
      <c r="AG65" s="9" t="s">
        <v>24</v>
      </c>
      <c r="AH65" s="10">
        <v>2</v>
      </c>
      <c r="AI65" s="10">
        <v>6</v>
      </c>
      <c r="AJ65" s="44"/>
      <c r="AK65" s="4" t="s">
        <v>3</v>
      </c>
      <c r="AL65" s="35"/>
      <c r="AM65" s="10">
        <v>6</v>
      </c>
      <c r="AN65" s="10"/>
      <c r="AO65" s="10"/>
      <c r="AP65" s="181"/>
      <c r="AQ65" s="304"/>
      <c r="AR65" s="305"/>
      <c r="AS65" s="305"/>
      <c r="AT65" s="306"/>
      <c r="AU65" s="25"/>
      <c r="AV65" s="9" t="str">
        <f>AV22</f>
        <v>Hintere Schulter</v>
      </c>
      <c r="AW65" s="10">
        <v>3</v>
      </c>
      <c r="AX65" s="10">
        <v>8</v>
      </c>
      <c r="AY65" s="44"/>
      <c r="AZ65" s="4" t="s">
        <v>3</v>
      </c>
      <c r="BA65" s="35"/>
      <c r="BB65" s="10">
        <v>6</v>
      </c>
      <c r="BC65" s="10"/>
      <c r="BD65" s="10"/>
      <c r="BE65" s="181"/>
      <c r="BF65" s="304"/>
      <c r="BG65" s="305"/>
      <c r="BH65" s="305"/>
      <c r="BI65" s="306"/>
    </row>
    <row r="66" spans="3:61" ht="16" x14ac:dyDescent="0.2">
      <c r="C66" s="7" t="str">
        <f>C23</f>
        <v>Rudern</v>
      </c>
      <c r="D66" s="8">
        <v>3</v>
      </c>
      <c r="E66" s="279" t="str">
        <f>IF(OR(C66="Pendlay Rudern"),"4","6")</f>
        <v>6</v>
      </c>
      <c r="F66" s="30"/>
      <c r="G66" s="5" t="s">
        <v>3</v>
      </c>
      <c r="H66" s="31"/>
      <c r="I66" s="8">
        <v>7</v>
      </c>
      <c r="J66" s="8"/>
      <c r="K66" s="8"/>
      <c r="L66" s="180"/>
      <c r="M66" s="312"/>
      <c r="N66" s="313"/>
      <c r="O66" s="313"/>
      <c r="P66" s="314"/>
      <c r="R66" s="7" t="s">
        <v>19</v>
      </c>
      <c r="S66" s="8">
        <v>2</v>
      </c>
      <c r="T66" s="32">
        <v>8</v>
      </c>
      <c r="U66" s="30"/>
      <c r="V66" s="5" t="s">
        <v>3</v>
      </c>
      <c r="W66" s="31"/>
      <c r="X66" s="8">
        <v>7</v>
      </c>
      <c r="Y66" s="8"/>
      <c r="Z66" s="8"/>
      <c r="AA66" s="180"/>
      <c r="AB66" s="312"/>
      <c r="AC66" s="313"/>
      <c r="AD66" s="313"/>
      <c r="AE66" s="314"/>
      <c r="AG66" s="118" t="s">
        <v>96</v>
      </c>
      <c r="AH66" s="8">
        <v>2</v>
      </c>
      <c r="AI66" s="8"/>
      <c r="AJ66" s="30"/>
      <c r="AK66" s="5" t="s">
        <v>3</v>
      </c>
      <c r="AL66" s="31"/>
      <c r="AM66" s="8"/>
      <c r="AN66" s="8"/>
      <c r="AO66" s="8"/>
      <c r="AP66" s="180"/>
      <c r="AQ66" s="312"/>
      <c r="AR66" s="313"/>
      <c r="AS66" s="313"/>
      <c r="AT66" s="314"/>
      <c r="AU66" s="25"/>
      <c r="AV66" s="112"/>
      <c r="AW66" s="113"/>
      <c r="AX66" s="113"/>
      <c r="AY66" s="111"/>
      <c r="AZ66" s="56"/>
      <c r="BA66" s="114"/>
      <c r="BB66" s="113"/>
      <c r="BC66" s="113"/>
      <c r="BD66" s="113"/>
      <c r="BE66" s="56"/>
      <c r="BF66" s="312"/>
      <c r="BG66" s="313"/>
      <c r="BH66" s="313"/>
      <c r="BI66" s="314"/>
    </row>
    <row r="67" spans="3:61" ht="16" x14ac:dyDescent="0.2">
      <c r="C67" s="9" t="str">
        <f>C24</f>
        <v>Optional: Unterarmstütz/Ab Roll</v>
      </c>
      <c r="D67" s="10">
        <v>2</v>
      </c>
      <c r="E67" s="10"/>
      <c r="F67" s="44"/>
      <c r="G67" s="4" t="s">
        <v>3</v>
      </c>
      <c r="H67" s="35"/>
      <c r="I67" s="10"/>
      <c r="J67" s="10"/>
      <c r="K67" s="10"/>
      <c r="L67" s="181"/>
      <c r="M67" s="304"/>
      <c r="N67" s="305"/>
      <c r="O67" s="305"/>
      <c r="P67" s="306"/>
      <c r="R67" s="9" t="s">
        <v>20</v>
      </c>
      <c r="S67" s="10">
        <v>2</v>
      </c>
      <c r="T67" s="29">
        <v>8</v>
      </c>
      <c r="U67" s="44"/>
      <c r="V67" s="4" t="s">
        <v>3</v>
      </c>
      <c r="W67" s="35"/>
      <c r="X67" s="10">
        <v>7</v>
      </c>
      <c r="Y67" s="10"/>
      <c r="Z67" s="10"/>
      <c r="AA67" s="181"/>
      <c r="AB67" s="304"/>
      <c r="AC67" s="305"/>
      <c r="AD67" s="305"/>
      <c r="AE67" s="306"/>
      <c r="AG67" s="9"/>
      <c r="AH67" s="10"/>
      <c r="AI67" s="10"/>
      <c r="AJ67" s="44"/>
      <c r="AK67" s="4" t="s">
        <v>3</v>
      </c>
      <c r="AL67" s="35"/>
      <c r="AM67" s="10"/>
      <c r="AN67" s="10"/>
      <c r="AO67" s="10"/>
      <c r="AP67" s="181"/>
      <c r="AQ67" s="304"/>
      <c r="AR67" s="305"/>
      <c r="AS67" s="305"/>
      <c r="AT67" s="306"/>
      <c r="AU67" s="25"/>
      <c r="AV67" s="9"/>
      <c r="AW67" s="10"/>
      <c r="AX67" s="10"/>
      <c r="AY67" s="44"/>
      <c r="AZ67" s="4" t="s">
        <v>3</v>
      </c>
      <c r="BA67" s="35"/>
      <c r="BB67" s="10"/>
      <c r="BC67" s="10"/>
      <c r="BD67" s="10"/>
      <c r="BE67" s="181"/>
      <c r="BF67" s="304"/>
      <c r="BG67" s="305"/>
      <c r="BH67" s="305"/>
      <c r="BI67" s="306"/>
    </row>
    <row r="68" spans="3:61" ht="17" thickBot="1" x14ac:dyDescent="0.25">
      <c r="C68" s="11"/>
      <c r="D68" s="12"/>
      <c r="E68" s="12"/>
      <c r="F68" s="45"/>
      <c r="G68" s="6" t="s">
        <v>3</v>
      </c>
      <c r="H68" s="36"/>
      <c r="I68" s="12"/>
      <c r="J68" s="12"/>
      <c r="K68" s="12"/>
      <c r="L68" s="182"/>
      <c r="M68" s="321"/>
      <c r="N68" s="322"/>
      <c r="O68" s="322"/>
      <c r="P68" s="323"/>
      <c r="R68" s="11"/>
      <c r="S68" s="12"/>
      <c r="T68" s="12"/>
      <c r="U68" s="45"/>
      <c r="V68" s="6" t="s">
        <v>3</v>
      </c>
      <c r="W68" s="36"/>
      <c r="X68" s="12"/>
      <c r="Y68" s="12"/>
      <c r="Z68" s="12"/>
      <c r="AA68" s="182"/>
      <c r="AB68" s="321"/>
      <c r="AC68" s="322"/>
      <c r="AD68" s="322"/>
      <c r="AE68" s="323"/>
      <c r="AG68" s="11"/>
      <c r="AH68" s="12"/>
      <c r="AI68" s="12"/>
      <c r="AJ68" s="45"/>
      <c r="AK68" s="6" t="s">
        <v>3</v>
      </c>
      <c r="AL68" s="36"/>
      <c r="AM68" s="12"/>
      <c r="AN68" s="12"/>
      <c r="AO68" s="12"/>
      <c r="AP68" s="182"/>
      <c r="AQ68" s="321"/>
      <c r="AR68" s="322"/>
      <c r="AS68" s="322"/>
      <c r="AT68" s="323"/>
      <c r="AU68" s="25"/>
      <c r="AV68" s="11"/>
      <c r="AW68" s="12"/>
      <c r="AX68" s="12"/>
      <c r="AY68" s="45"/>
      <c r="AZ68" s="6" t="s">
        <v>3</v>
      </c>
      <c r="BA68" s="36"/>
      <c r="BB68" s="12"/>
      <c r="BC68" s="12"/>
      <c r="BD68" s="12"/>
      <c r="BE68" s="182"/>
      <c r="BF68" s="321"/>
      <c r="BG68" s="322"/>
      <c r="BH68" s="322"/>
      <c r="BI68" s="323"/>
    </row>
  </sheetData>
  <mergeCells count="178">
    <mergeCell ref="BF56:BI56"/>
    <mergeCell ref="BF57:BI57"/>
    <mergeCell ref="BF41:BI41"/>
    <mergeCell ref="BF45:BI45"/>
    <mergeCell ref="BF30:BI30"/>
    <mergeCell ref="BF34:BI34"/>
    <mergeCell ref="AQ30:AT30"/>
    <mergeCell ref="AQ41:AT41"/>
    <mergeCell ref="AQ33:AT33"/>
    <mergeCell ref="AQ34:AT34"/>
    <mergeCell ref="BF33:BI33"/>
    <mergeCell ref="AQ35:AT35"/>
    <mergeCell ref="BF35:BI35"/>
    <mergeCell ref="AQ42:AT42"/>
    <mergeCell ref="BF42:BI42"/>
    <mergeCell ref="AQ43:AT43"/>
    <mergeCell ref="AQ46:AT46"/>
    <mergeCell ref="BF46:BI46"/>
    <mergeCell ref="AQ51:AT51"/>
    <mergeCell ref="BF51:BI51"/>
    <mergeCell ref="AY52:BA52"/>
    <mergeCell ref="BF52:BI52"/>
    <mergeCell ref="AQ62:AT62"/>
    <mergeCell ref="AQ64:AT64"/>
    <mergeCell ref="AQ65:AT65"/>
    <mergeCell ref="AQ66:AT66"/>
    <mergeCell ref="AQ67:AT67"/>
    <mergeCell ref="AQ68:AT68"/>
    <mergeCell ref="BF62:BI62"/>
    <mergeCell ref="BF64:BI64"/>
    <mergeCell ref="BF65:BI65"/>
    <mergeCell ref="BF66:BI66"/>
    <mergeCell ref="BF67:BI67"/>
    <mergeCell ref="BF68:BI68"/>
    <mergeCell ref="M62:P62"/>
    <mergeCell ref="M64:P64"/>
    <mergeCell ref="M66:P66"/>
    <mergeCell ref="M68:P68"/>
    <mergeCell ref="M67:P67"/>
    <mergeCell ref="M65:P65"/>
    <mergeCell ref="AB62:AE62"/>
    <mergeCell ref="AB64:AE64"/>
    <mergeCell ref="AB65:AE65"/>
    <mergeCell ref="AB66:AE66"/>
    <mergeCell ref="AB67:AE67"/>
    <mergeCell ref="AB68:AE68"/>
    <mergeCell ref="F52:H52"/>
    <mergeCell ref="M19:P19"/>
    <mergeCell ref="M30:P30"/>
    <mergeCell ref="M35:P35"/>
    <mergeCell ref="M41:P41"/>
    <mergeCell ref="M46:P46"/>
    <mergeCell ref="M18:P18"/>
    <mergeCell ref="M20:P20"/>
    <mergeCell ref="AB18:AE18"/>
    <mergeCell ref="M33:P33"/>
    <mergeCell ref="AB33:AE33"/>
    <mergeCell ref="AB34:AE34"/>
    <mergeCell ref="M34:P34"/>
    <mergeCell ref="AB35:AE35"/>
    <mergeCell ref="M44:P44"/>
    <mergeCell ref="M43:P43"/>
    <mergeCell ref="AB44:AE44"/>
    <mergeCell ref="AB46:AE46"/>
    <mergeCell ref="M51:P51"/>
    <mergeCell ref="AB51:AE51"/>
    <mergeCell ref="M52:P52"/>
    <mergeCell ref="AB52:AE52"/>
    <mergeCell ref="U52:W52"/>
    <mergeCell ref="F61:H61"/>
    <mergeCell ref="AJ61:AL61"/>
    <mergeCell ref="AY61:BA61"/>
    <mergeCell ref="BF39:BI39"/>
    <mergeCell ref="F50:H50"/>
    <mergeCell ref="M50:P50"/>
    <mergeCell ref="U50:W50"/>
    <mergeCell ref="AB50:AE50"/>
    <mergeCell ref="AJ50:AL50"/>
    <mergeCell ref="AQ50:AT50"/>
    <mergeCell ref="AY50:BA50"/>
    <mergeCell ref="BF50:BI50"/>
    <mergeCell ref="F39:H39"/>
    <mergeCell ref="M39:P39"/>
    <mergeCell ref="U39:W39"/>
    <mergeCell ref="AB39:AE39"/>
    <mergeCell ref="M40:P40"/>
    <mergeCell ref="M42:P42"/>
    <mergeCell ref="AB40:AE40"/>
    <mergeCell ref="AQ40:AT40"/>
    <mergeCell ref="BF40:BI40"/>
    <mergeCell ref="AB43:AE43"/>
    <mergeCell ref="BF43:BI43"/>
    <mergeCell ref="AB42:AE42"/>
    <mergeCell ref="F17:H17"/>
    <mergeCell ref="M17:P17"/>
    <mergeCell ref="U17:W17"/>
    <mergeCell ref="AB17:AE17"/>
    <mergeCell ref="AJ17:AL17"/>
    <mergeCell ref="AQ17:AT17"/>
    <mergeCell ref="AY17:BA17"/>
    <mergeCell ref="F28:H28"/>
    <mergeCell ref="M28:P28"/>
    <mergeCell ref="U28:W28"/>
    <mergeCell ref="AB28:AE28"/>
    <mergeCell ref="AJ28:AL28"/>
    <mergeCell ref="AQ28:AT28"/>
    <mergeCell ref="AY28:BA28"/>
    <mergeCell ref="AQ18:AT18"/>
    <mergeCell ref="AB23:AE23"/>
    <mergeCell ref="M23:P23"/>
    <mergeCell ref="AQ23:AT23"/>
    <mergeCell ref="M24:P24"/>
    <mergeCell ref="AB24:AE24"/>
    <mergeCell ref="AQ24:AT24"/>
    <mergeCell ref="BF18:BI18"/>
    <mergeCell ref="AB21:AE21"/>
    <mergeCell ref="BF21:BI21"/>
    <mergeCell ref="AB20:AE20"/>
    <mergeCell ref="AQ20:AT20"/>
    <mergeCell ref="BF20:BI20"/>
    <mergeCell ref="M22:P22"/>
    <mergeCell ref="BF17:BI17"/>
    <mergeCell ref="AQ19:AT19"/>
    <mergeCell ref="AQ21:AT21"/>
    <mergeCell ref="BF19:BI19"/>
    <mergeCell ref="M21:P21"/>
    <mergeCell ref="AB22:AE22"/>
    <mergeCell ref="AQ22:AT22"/>
    <mergeCell ref="BF22:BI22"/>
    <mergeCell ref="BF24:BI24"/>
    <mergeCell ref="BF23:BI23"/>
    <mergeCell ref="M29:P29"/>
    <mergeCell ref="M31:P31"/>
    <mergeCell ref="AB29:AE29"/>
    <mergeCell ref="AQ29:AT29"/>
    <mergeCell ref="BF29:BI29"/>
    <mergeCell ref="AB32:AE32"/>
    <mergeCell ref="BF32:BI32"/>
    <mergeCell ref="AB31:AE31"/>
    <mergeCell ref="AQ31:AT31"/>
    <mergeCell ref="BF31:BI31"/>
    <mergeCell ref="AQ32:AT32"/>
    <mergeCell ref="M32:P32"/>
    <mergeCell ref="BF28:BI28"/>
    <mergeCell ref="AB30:AE30"/>
    <mergeCell ref="AJ39:AL39"/>
    <mergeCell ref="AQ39:AT39"/>
    <mergeCell ref="AY39:BA39"/>
    <mergeCell ref="AB41:AE41"/>
    <mergeCell ref="AB45:AE45"/>
    <mergeCell ref="AQ44:AT44"/>
    <mergeCell ref="M45:P45"/>
    <mergeCell ref="AQ45:AT45"/>
    <mergeCell ref="BF44:BI44"/>
    <mergeCell ref="M61:P61"/>
    <mergeCell ref="AB61:AE61"/>
    <mergeCell ref="AB54:AE54"/>
    <mergeCell ref="BF54:BI54"/>
    <mergeCell ref="AB53:AE53"/>
    <mergeCell ref="AQ53:AT53"/>
    <mergeCell ref="BF53:BI53"/>
    <mergeCell ref="AQ52:AT52"/>
    <mergeCell ref="U61:W61"/>
    <mergeCell ref="AQ61:AT61"/>
    <mergeCell ref="BF61:BI61"/>
    <mergeCell ref="M54:P54"/>
    <mergeCell ref="M55:P55"/>
    <mergeCell ref="M56:P56"/>
    <mergeCell ref="M57:P57"/>
    <mergeCell ref="AB55:AE55"/>
    <mergeCell ref="AB56:AE56"/>
    <mergeCell ref="AB57:AE57"/>
    <mergeCell ref="AQ54:AT54"/>
    <mergeCell ref="AQ55:AT55"/>
    <mergeCell ref="AQ56:AT56"/>
    <mergeCell ref="AQ57:AT57"/>
    <mergeCell ref="M53:P53"/>
    <mergeCell ref="BF55:BI55"/>
  </mergeCells>
  <dataValidations count="11">
    <dataValidation type="list" allowBlank="1" showInputMessage="1" showErrorMessage="1" sqref="R22" xr:uid="{017FBA87-07E2-4FA7-AF72-1CC773A16374}">
      <formula1>$BN$20:$BN$23</formula1>
    </dataValidation>
    <dataValidation type="list" allowBlank="1" showInputMessage="1" showErrorMessage="1" sqref="C21" xr:uid="{A81A3B68-BA48-4F67-BE93-52D8E8DEA02E}">
      <formula1>$BP$20:$BP$23</formula1>
    </dataValidation>
    <dataValidation type="list" allowBlank="1" showInputMessage="1" showErrorMessage="1" sqref="R20" xr:uid="{72FF0C07-4E39-4FA4-A284-B42D9C2E7B88}">
      <formula1>$BP$17:$BP$19</formula1>
    </dataValidation>
    <dataValidation type="list" allowBlank="1" showInputMessage="1" showErrorMessage="1" sqref="C22" xr:uid="{E5F9FB95-5A3A-453F-BE38-72EC79C818E3}">
      <formula1>$BN$20:$BN$25</formula1>
    </dataValidation>
    <dataValidation type="list" allowBlank="1" showInputMessage="1" showErrorMessage="1" sqref="AV21" xr:uid="{5D83E0C4-CF6A-43C2-A9EE-26F69C32F38C}">
      <formula1>$BN$17:$BN$19</formula1>
    </dataValidation>
    <dataValidation type="list" allowBlank="1" showInputMessage="1" showErrorMessage="1" sqref="AG21" xr:uid="{816DC130-8E4A-43E1-B2A6-F786507F2670}">
      <formula1>$BL$20:$BL$24</formula1>
    </dataValidation>
    <dataValidation type="list" allowBlank="1" showInputMessage="1" showErrorMessage="1" sqref="R21" xr:uid="{A0FE81F8-E6A4-47DF-BC63-6A6480D56FC2}">
      <formula1>$BL$17:$BL$19</formula1>
    </dataValidation>
    <dataValidation type="list" allowBlank="1" showInputMessage="1" showErrorMessage="1" sqref="AG31" xr:uid="{5B63B68D-31EB-4BFD-9F3A-511835D4202B}">
      <formula1>$BR$17:$BR$20</formula1>
    </dataValidation>
    <dataValidation type="list" allowBlank="1" showInputMessage="1" showErrorMessage="1" sqref="AV22" xr:uid="{66DB610B-45A6-4A3B-94FA-324D99306383}">
      <formula1>$BN$38:$BN$42</formula1>
    </dataValidation>
    <dataValidation type="list" allowBlank="1" showInputMessage="1" showErrorMessage="1" sqref="AG20" xr:uid="{E1309BD9-C18D-45F9-89AB-7B26152DD6DA}">
      <formula1>$BR$28:$BR$30</formula1>
    </dataValidation>
    <dataValidation type="list" allowBlank="1" showInputMessage="1" showErrorMessage="1" sqref="C23" xr:uid="{1CC6D828-59B2-4BA0-8F0F-9DE983CA06F7}">
      <formula1>$BL$31:$BL$34</formula1>
    </dataValidation>
  </dataValidations>
  <pageMargins left="0.7" right="0.7" top="0.78740157499999996" bottom="0.78740157499999996" header="0.3" footer="0.3"/>
  <pageSetup paperSize="9" orientation="portrait" r:id="rId1"/>
  <ignoredErrors>
    <ignoredError sqref="C52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6E48E-A7BD-4763-92BA-1A93BDFE1532}">
  <sheetPr>
    <tabColor rgb="FF8A0000"/>
  </sheetPr>
  <dimension ref="B1:BR78"/>
  <sheetViews>
    <sheetView showGridLines="0" topLeftCell="A35" zoomScale="70" zoomScaleNormal="70" workbookViewId="0">
      <selection activeCell="C4" sqref="C4"/>
    </sheetView>
  </sheetViews>
  <sheetFormatPr baseColWidth="10" defaultRowHeight="15" x14ac:dyDescent="0.2"/>
  <cols>
    <col min="1" max="2" width="5.6640625" customWidth="1"/>
    <col min="3" max="3" width="32.5" bestFit="1" customWidth="1"/>
    <col min="4" max="4" width="12.5" customWidth="1"/>
    <col min="5" max="5" width="20.6640625" bestFit="1" customWidth="1"/>
    <col min="6" max="6" width="12.5" style="42" customWidth="1"/>
    <col min="7" max="7" width="22.5" bestFit="1" customWidth="1"/>
    <col min="8" max="8" width="12.5" style="47" customWidth="1"/>
    <col min="9" max="9" width="12.5" customWidth="1"/>
    <col min="10" max="10" width="25.1640625" bestFit="1" customWidth="1"/>
    <col min="11" max="11" width="22.83203125" bestFit="1" customWidth="1"/>
    <col min="12" max="12" width="22.83203125" customWidth="1"/>
    <col min="13" max="16" width="11.5" customWidth="1"/>
    <col min="17" max="17" width="5.6640625" style="22" customWidth="1"/>
    <col min="18" max="18" width="28.5" style="22" bestFit="1" customWidth="1"/>
    <col min="19" max="20" width="12.5" style="22" customWidth="1"/>
    <col min="21" max="21" width="12.5" style="50" customWidth="1"/>
    <col min="22" max="22" width="12.5" style="22" customWidth="1"/>
    <col min="23" max="23" width="12.5" style="51" customWidth="1"/>
    <col min="24" max="24" width="12.5" style="22" customWidth="1"/>
    <col min="25" max="25" width="25.1640625" style="22" bestFit="1" customWidth="1"/>
    <col min="26" max="26" width="22.83203125" style="22" bestFit="1" customWidth="1"/>
    <col min="27" max="27" width="22.83203125" style="22" customWidth="1"/>
    <col min="28" max="31" width="11.5" style="22" customWidth="1"/>
    <col min="32" max="32" width="5.6640625" style="22" customWidth="1"/>
    <col min="33" max="33" width="32.5" style="22" bestFit="1" customWidth="1"/>
    <col min="34" max="35" width="12.5" style="22" customWidth="1"/>
    <col min="36" max="36" width="12.5" style="50" customWidth="1"/>
    <col min="37" max="37" width="12.5" style="22" customWidth="1"/>
    <col min="38" max="38" width="12.5" style="51" customWidth="1"/>
    <col min="39" max="39" width="12.5" style="22" customWidth="1"/>
    <col min="40" max="40" width="25.1640625" style="22" bestFit="1" customWidth="1"/>
    <col min="41" max="41" width="22.83203125" style="22" bestFit="1" customWidth="1"/>
    <col min="42" max="42" width="22.83203125" style="22" customWidth="1"/>
    <col min="43" max="46" width="11.5" style="22" customWidth="1"/>
    <col min="47" max="47" width="5.6640625" style="22" customWidth="1"/>
    <col min="48" max="48" width="34.33203125" style="22" bestFit="1" customWidth="1"/>
    <col min="49" max="50" width="12.5" style="22" customWidth="1"/>
    <col min="51" max="51" width="12.5" style="50" customWidth="1"/>
    <col min="52" max="52" width="12.5" style="22" customWidth="1"/>
    <col min="53" max="53" width="12.5" style="51" customWidth="1"/>
    <col min="54" max="54" width="12.5" style="22" customWidth="1"/>
    <col min="55" max="55" width="16" style="22" bestFit="1" customWidth="1"/>
    <col min="56" max="56" width="22.83203125" bestFit="1" customWidth="1"/>
    <col min="57" max="57" width="22.83203125" customWidth="1"/>
    <col min="58" max="61" width="11.5" customWidth="1"/>
    <col min="64" max="64" width="22" style="27" hidden="1" customWidth="1"/>
    <col min="65" max="65" width="11.5" style="27" hidden="1" customWidth="1"/>
    <col min="66" max="66" width="20" style="27" hidden="1" customWidth="1"/>
    <col min="67" max="67" width="11.5" style="27" hidden="1" customWidth="1"/>
    <col min="68" max="68" width="24.6640625" style="27" hidden="1" customWidth="1"/>
    <col min="69" max="69" width="11.5" style="27" hidden="1" customWidth="1"/>
    <col min="70" max="70" width="19" style="27" hidden="1" customWidth="1"/>
    <col min="71" max="71" width="11.5" customWidth="1"/>
  </cols>
  <sheetData>
    <row r="1" spans="2:16" ht="15" customHeight="1" x14ac:dyDescent="0.2"/>
    <row r="2" spans="2:16" ht="20.5" customHeight="1" thickBot="1" x14ac:dyDescent="0.25">
      <c r="C2" s="1"/>
      <c r="D2" s="1"/>
      <c r="E2" s="1"/>
      <c r="F2" s="43"/>
      <c r="G2" s="1"/>
      <c r="H2" s="46"/>
      <c r="I2" s="1"/>
      <c r="J2" s="1"/>
      <c r="K2" s="1"/>
      <c r="L2" s="1"/>
      <c r="M2" s="1"/>
      <c r="N2" s="1"/>
      <c r="O2" s="1"/>
      <c r="P2" s="1"/>
    </row>
    <row r="3" spans="2:16" ht="21" customHeight="1" thickBot="1" x14ac:dyDescent="0.25">
      <c r="B3" s="152"/>
      <c r="C3" s="153"/>
      <c r="D3" s="153"/>
      <c r="E3" s="153"/>
      <c r="F3" s="154"/>
      <c r="G3" s="153"/>
      <c r="H3" s="155"/>
      <c r="I3" s="156"/>
    </row>
    <row r="4" spans="2:16" ht="20" thickBot="1" x14ac:dyDescent="0.3">
      <c r="B4" s="157"/>
      <c r="C4" s="98" t="s">
        <v>62</v>
      </c>
      <c r="D4" s="144"/>
      <c r="E4" s="144"/>
      <c r="F4" s="43"/>
      <c r="G4" s="1"/>
      <c r="H4" s="46"/>
      <c r="I4" s="158"/>
    </row>
    <row r="5" spans="2:16" ht="16" x14ac:dyDescent="0.2">
      <c r="B5" s="157"/>
      <c r="C5" s="166" t="s">
        <v>54</v>
      </c>
      <c r="D5" s="145" t="s">
        <v>55</v>
      </c>
      <c r="E5" s="164" t="s">
        <v>4</v>
      </c>
      <c r="F5" s="43"/>
      <c r="G5" s="1"/>
      <c r="H5" s="46"/>
      <c r="I5" s="158"/>
    </row>
    <row r="6" spans="2:16" ht="16" thickBot="1" x14ac:dyDescent="0.25">
      <c r="B6" s="157"/>
      <c r="C6" s="167">
        <v>0</v>
      </c>
      <c r="D6" s="3">
        <v>0</v>
      </c>
      <c r="E6" s="165">
        <f>(C6*D6*0.0333)+D6</f>
        <v>0</v>
      </c>
      <c r="F6" s="43"/>
      <c r="G6" s="1"/>
      <c r="H6" s="46"/>
      <c r="I6" s="158"/>
    </row>
    <row r="7" spans="2:16" x14ac:dyDescent="0.2">
      <c r="B7" s="157"/>
      <c r="C7" s="1"/>
      <c r="D7" s="1"/>
      <c r="E7" s="1"/>
      <c r="F7" s="43"/>
      <c r="G7" s="1"/>
      <c r="H7" s="46"/>
      <c r="I7" s="158"/>
    </row>
    <row r="8" spans="2:16" ht="16" thickBot="1" x14ac:dyDescent="0.25">
      <c r="B8" s="157"/>
      <c r="C8" s="1"/>
      <c r="D8" s="1"/>
      <c r="E8" s="1"/>
      <c r="F8" s="43"/>
      <c r="G8" s="1"/>
      <c r="H8" s="46"/>
      <c r="I8" s="158"/>
      <c r="J8" s="1"/>
      <c r="K8" s="1"/>
      <c r="L8" s="1"/>
      <c r="M8" s="1"/>
      <c r="N8" s="1"/>
      <c r="O8" s="1"/>
      <c r="P8" s="1"/>
    </row>
    <row r="9" spans="2:16" ht="20" thickBot="1" x14ac:dyDescent="0.3">
      <c r="B9" s="157"/>
      <c r="C9" s="215" t="s">
        <v>65</v>
      </c>
      <c r="D9" s="96" t="s">
        <v>52</v>
      </c>
      <c r="E9" s="216" t="s">
        <v>66</v>
      </c>
      <c r="F9" s="96" t="s">
        <v>52</v>
      </c>
      <c r="G9" s="216" t="s">
        <v>67</v>
      </c>
      <c r="H9" s="97" t="s">
        <v>52</v>
      </c>
      <c r="I9" s="158"/>
      <c r="J9" s="1"/>
      <c r="K9" s="37" t="s">
        <v>4</v>
      </c>
      <c r="L9" s="37"/>
      <c r="M9" s="1"/>
      <c r="N9" s="1"/>
      <c r="O9" s="1"/>
      <c r="P9" s="1"/>
    </row>
    <row r="10" spans="2:16" ht="16" x14ac:dyDescent="0.2">
      <c r="B10" s="157"/>
      <c r="C10" s="217" t="s">
        <v>92</v>
      </c>
      <c r="D10" s="213">
        <f>'Block 2'!J49</f>
        <v>0</v>
      </c>
      <c r="E10" s="220" t="s">
        <v>93</v>
      </c>
      <c r="F10" s="146">
        <f>'Block 2'!BC49</f>
        <v>0</v>
      </c>
      <c r="G10" s="220" t="s">
        <v>94</v>
      </c>
      <c r="H10" s="147">
        <f>'Block 2'!Y49</f>
        <v>0</v>
      </c>
      <c r="I10" s="158"/>
      <c r="J10" s="1"/>
      <c r="K10" s="38"/>
      <c r="L10" s="38"/>
      <c r="M10" s="2"/>
      <c r="N10" s="2"/>
      <c r="O10" s="1"/>
      <c r="P10" s="1"/>
    </row>
    <row r="11" spans="2:16" ht="16" x14ac:dyDescent="0.2">
      <c r="B11" s="157"/>
      <c r="C11" s="168" t="s">
        <v>71</v>
      </c>
      <c r="D11" s="148">
        <f>D10*0.9</f>
        <v>0</v>
      </c>
      <c r="E11" s="169" t="s">
        <v>72</v>
      </c>
      <c r="F11" s="148">
        <f>F10*0.925</f>
        <v>0</v>
      </c>
      <c r="G11" s="169" t="s">
        <v>98</v>
      </c>
      <c r="H11" s="149">
        <f>0.93*H10</f>
        <v>0</v>
      </c>
      <c r="I11" s="158"/>
      <c r="M11" s="99"/>
      <c r="N11" s="2"/>
      <c r="O11" s="1"/>
      <c r="P11" s="1"/>
    </row>
    <row r="12" spans="2:16" ht="16" x14ac:dyDescent="0.2">
      <c r="B12" s="157"/>
      <c r="C12" s="218" t="s">
        <v>74</v>
      </c>
      <c r="D12" s="146">
        <f>D10*0.85</f>
        <v>0</v>
      </c>
      <c r="E12" s="221" t="s">
        <v>75</v>
      </c>
      <c r="F12" s="146">
        <f>F10*0.9</f>
        <v>0</v>
      </c>
      <c r="G12" s="221" t="s">
        <v>97</v>
      </c>
      <c r="H12" s="147">
        <f>0.85*H10</f>
        <v>0</v>
      </c>
      <c r="I12" s="158"/>
      <c r="M12" s="1"/>
      <c r="N12" s="1"/>
      <c r="O12" s="1"/>
      <c r="P12" s="1"/>
    </row>
    <row r="13" spans="2:16" ht="17" thickBot="1" x14ac:dyDescent="0.25">
      <c r="B13" s="157"/>
      <c r="C13" s="219" t="s">
        <v>95</v>
      </c>
      <c r="D13" s="150">
        <f>D10*0.875</f>
        <v>0</v>
      </c>
      <c r="E13" s="222" t="s">
        <v>99</v>
      </c>
      <c r="F13" s="150">
        <f>0.9*F10</f>
        <v>0</v>
      </c>
      <c r="G13" s="222" t="s">
        <v>102</v>
      </c>
      <c r="H13" s="151" t="s">
        <v>3</v>
      </c>
      <c r="I13" s="158"/>
      <c r="K13" s="1"/>
      <c r="L13" s="1"/>
      <c r="M13" s="1"/>
      <c r="N13" s="1"/>
      <c r="O13" s="1"/>
      <c r="P13" s="1"/>
    </row>
    <row r="14" spans="2:16" ht="24" customHeight="1" thickBot="1" x14ac:dyDescent="0.25">
      <c r="B14" s="159"/>
      <c r="C14" s="160"/>
      <c r="D14" s="160"/>
      <c r="E14" s="160"/>
      <c r="F14" s="161"/>
      <c r="G14" s="160"/>
      <c r="H14" s="162"/>
      <c r="I14" s="163"/>
      <c r="J14" s="1"/>
      <c r="K14" s="1"/>
      <c r="L14" s="1"/>
      <c r="M14" s="1"/>
      <c r="N14" s="1"/>
      <c r="O14" s="1"/>
      <c r="P14" s="1"/>
    </row>
    <row r="15" spans="2:16" ht="42.5" customHeight="1" thickBot="1" x14ac:dyDescent="0.25">
      <c r="C15" s="1"/>
      <c r="D15" s="1"/>
      <c r="E15" s="1"/>
      <c r="F15" s="43"/>
      <c r="G15" s="1"/>
      <c r="H15" s="46"/>
      <c r="I15" s="1"/>
      <c r="J15" s="1"/>
      <c r="K15" s="1"/>
      <c r="L15" s="1"/>
      <c r="M15" s="1"/>
      <c r="N15" s="1"/>
      <c r="O15" s="1"/>
      <c r="P15" s="1"/>
    </row>
    <row r="16" spans="2:16" ht="25" thickBot="1" x14ac:dyDescent="0.25">
      <c r="C16" s="95" t="s">
        <v>8</v>
      </c>
      <c r="D16" s="1"/>
      <c r="E16" s="1"/>
      <c r="F16" s="43"/>
      <c r="G16" s="1"/>
      <c r="H16" s="46"/>
      <c r="I16" s="1"/>
      <c r="J16" s="1"/>
      <c r="K16" s="1"/>
      <c r="L16" s="1"/>
      <c r="M16" s="1"/>
      <c r="N16" s="1"/>
      <c r="O16" s="1"/>
      <c r="P16" s="1"/>
    </row>
    <row r="17" spans="3:70" ht="20" thickBot="1" x14ac:dyDescent="0.3">
      <c r="C17" s="142" t="s">
        <v>108</v>
      </c>
      <c r="D17" s="299" t="s">
        <v>128</v>
      </c>
      <c r="E17" s="299" t="s">
        <v>54</v>
      </c>
      <c r="F17" s="308" t="s">
        <v>27</v>
      </c>
      <c r="G17" s="308"/>
      <c r="H17" s="309"/>
      <c r="I17" s="299" t="s">
        <v>5</v>
      </c>
      <c r="J17" s="299" t="s">
        <v>129</v>
      </c>
      <c r="K17" s="299" t="s">
        <v>7</v>
      </c>
      <c r="L17" s="298" t="s">
        <v>63</v>
      </c>
      <c r="M17" s="310" t="s">
        <v>6</v>
      </c>
      <c r="N17" s="308"/>
      <c r="O17" s="308"/>
      <c r="P17" s="311"/>
      <c r="Q17" s="23"/>
      <c r="R17" s="142" t="s">
        <v>113</v>
      </c>
      <c r="S17" s="299" t="s">
        <v>128</v>
      </c>
      <c r="T17" s="299" t="s">
        <v>54</v>
      </c>
      <c r="U17" s="308" t="s">
        <v>27</v>
      </c>
      <c r="V17" s="308"/>
      <c r="W17" s="309"/>
      <c r="X17" s="299" t="s">
        <v>5</v>
      </c>
      <c r="Y17" s="299" t="s">
        <v>129</v>
      </c>
      <c r="Z17" s="299" t="s">
        <v>7</v>
      </c>
      <c r="AA17" s="298" t="s">
        <v>63</v>
      </c>
      <c r="AB17" s="310" t="s">
        <v>6</v>
      </c>
      <c r="AC17" s="308"/>
      <c r="AD17" s="308"/>
      <c r="AE17" s="311"/>
      <c r="AF17" s="23"/>
      <c r="AG17" s="142" t="s">
        <v>118</v>
      </c>
      <c r="AH17" s="299" t="s">
        <v>128</v>
      </c>
      <c r="AI17" s="299" t="s">
        <v>54</v>
      </c>
      <c r="AJ17" s="308" t="s">
        <v>27</v>
      </c>
      <c r="AK17" s="308"/>
      <c r="AL17" s="309"/>
      <c r="AM17" s="299" t="s">
        <v>5</v>
      </c>
      <c r="AN17" s="299" t="s">
        <v>129</v>
      </c>
      <c r="AO17" s="299" t="s">
        <v>7</v>
      </c>
      <c r="AP17" s="298" t="s">
        <v>63</v>
      </c>
      <c r="AQ17" s="310" t="s">
        <v>6</v>
      </c>
      <c r="AR17" s="308"/>
      <c r="AS17" s="308"/>
      <c r="AT17" s="311"/>
      <c r="AU17" s="26"/>
      <c r="AV17" s="142" t="s">
        <v>123</v>
      </c>
      <c r="AW17" s="299" t="s">
        <v>128</v>
      </c>
      <c r="AX17" s="299" t="s">
        <v>54</v>
      </c>
      <c r="AY17" s="308" t="s">
        <v>27</v>
      </c>
      <c r="AZ17" s="308"/>
      <c r="BA17" s="309"/>
      <c r="BB17" s="299" t="s">
        <v>5</v>
      </c>
      <c r="BC17" s="299" t="s">
        <v>129</v>
      </c>
      <c r="BD17" s="299" t="s">
        <v>7</v>
      </c>
      <c r="BE17" s="298" t="s">
        <v>63</v>
      </c>
      <c r="BF17" s="310" t="s">
        <v>6</v>
      </c>
      <c r="BG17" s="308"/>
      <c r="BH17" s="308"/>
      <c r="BI17" s="311"/>
      <c r="BL17" s="27" t="s">
        <v>68</v>
      </c>
      <c r="BN17" s="27" t="s">
        <v>15</v>
      </c>
      <c r="BP17" s="27" t="s">
        <v>69</v>
      </c>
      <c r="BR17" s="27" t="s">
        <v>70</v>
      </c>
    </row>
    <row r="18" spans="3:70" ht="16" x14ac:dyDescent="0.2">
      <c r="C18" s="118" t="s">
        <v>92</v>
      </c>
      <c r="D18" s="119">
        <v>1</v>
      </c>
      <c r="E18" s="119">
        <v>1</v>
      </c>
      <c r="F18" s="30">
        <f>(0.86*D10)-5</f>
        <v>-5</v>
      </c>
      <c r="G18" s="171" t="s">
        <v>3</v>
      </c>
      <c r="H18" s="31">
        <f>(0.86*D10)+5</f>
        <v>5</v>
      </c>
      <c r="I18" s="32">
        <v>7</v>
      </c>
      <c r="J18" s="119" t="s">
        <v>58</v>
      </c>
      <c r="K18" s="119"/>
      <c r="L18" s="180"/>
      <c r="M18" s="318"/>
      <c r="N18" s="319"/>
      <c r="O18" s="319"/>
      <c r="P18" s="320"/>
      <c r="Q18" s="24"/>
      <c r="R18" s="7" t="s">
        <v>94</v>
      </c>
      <c r="S18" s="8">
        <v>1</v>
      </c>
      <c r="T18" s="8">
        <v>1</v>
      </c>
      <c r="U18" s="30">
        <f>(0.86*H10)-5</f>
        <v>-5</v>
      </c>
      <c r="V18" s="5" t="s">
        <v>3</v>
      </c>
      <c r="W18" s="31">
        <f>(0.86*H10)+5</f>
        <v>5</v>
      </c>
      <c r="X18" s="32">
        <v>7</v>
      </c>
      <c r="Y18" s="8" t="s">
        <v>37</v>
      </c>
      <c r="Z18" s="8"/>
      <c r="AA18" s="180"/>
      <c r="AB18" s="318"/>
      <c r="AC18" s="319"/>
      <c r="AD18" s="319"/>
      <c r="AE18" s="320"/>
      <c r="AF18" s="24"/>
      <c r="AG18" s="7" t="s">
        <v>92</v>
      </c>
      <c r="AH18" s="8">
        <v>5</v>
      </c>
      <c r="AI18" s="8">
        <v>3</v>
      </c>
      <c r="AJ18" s="30">
        <f>(0.8*D10)-5</f>
        <v>-5</v>
      </c>
      <c r="AK18" s="5" t="s">
        <v>3</v>
      </c>
      <c r="AL18" s="31">
        <f>(0.8*D10)+5</f>
        <v>5</v>
      </c>
      <c r="AM18" s="32">
        <v>7</v>
      </c>
      <c r="AN18" s="8" t="s">
        <v>58</v>
      </c>
      <c r="AO18" s="8"/>
      <c r="AP18" s="180"/>
      <c r="AQ18" s="318"/>
      <c r="AR18" s="319"/>
      <c r="AS18" s="319"/>
      <c r="AT18" s="320"/>
      <c r="AU18" s="25"/>
      <c r="AV18" s="7" t="s">
        <v>93</v>
      </c>
      <c r="AW18" s="8">
        <v>3</v>
      </c>
      <c r="AX18" s="8">
        <v>3</v>
      </c>
      <c r="AY18" s="30">
        <f>(0.8*F10)-5</f>
        <v>-5</v>
      </c>
      <c r="AZ18" s="5" t="s">
        <v>3</v>
      </c>
      <c r="BA18" s="31">
        <f>(0.8*F10)+5</f>
        <v>5</v>
      </c>
      <c r="BB18" s="32">
        <v>7</v>
      </c>
      <c r="BC18" s="8" t="s">
        <v>57</v>
      </c>
      <c r="BD18" s="8"/>
      <c r="BE18" s="180"/>
      <c r="BF18" s="318"/>
      <c r="BG18" s="319"/>
      <c r="BH18" s="319"/>
      <c r="BI18" s="320"/>
      <c r="BL18" s="27" t="s">
        <v>71</v>
      </c>
      <c r="BN18" s="27" t="s">
        <v>16</v>
      </c>
      <c r="BP18" s="27" t="s">
        <v>72</v>
      </c>
      <c r="BR18" s="27" t="s">
        <v>73</v>
      </c>
    </row>
    <row r="19" spans="3:70" ht="17" thickBot="1" x14ac:dyDescent="0.25">
      <c r="C19" s="118" t="s">
        <v>92</v>
      </c>
      <c r="D19" s="119">
        <v>3</v>
      </c>
      <c r="E19" s="119">
        <v>5</v>
      </c>
      <c r="F19" s="30">
        <f>(0.77*D10)-5</f>
        <v>-5</v>
      </c>
      <c r="G19" s="171" t="s">
        <v>3</v>
      </c>
      <c r="H19" s="31">
        <f>(0.77*D10)+5</f>
        <v>5</v>
      </c>
      <c r="I19" s="32">
        <v>7</v>
      </c>
      <c r="J19" s="119" t="s">
        <v>58</v>
      </c>
      <c r="K19" s="119"/>
      <c r="L19" s="180"/>
      <c r="M19" s="312"/>
      <c r="N19" s="313"/>
      <c r="O19" s="313"/>
      <c r="P19" s="314"/>
      <c r="Q19" s="24"/>
      <c r="R19" s="7" t="s">
        <v>94</v>
      </c>
      <c r="S19" s="8">
        <v>3</v>
      </c>
      <c r="T19" s="8">
        <v>3</v>
      </c>
      <c r="U19" s="30">
        <f>(0.81*H10)-5</f>
        <v>-5</v>
      </c>
      <c r="V19" s="5" t="s">
        <v>3</v>
      </c>
      <c r="W19" s="31">
        <f>(0.81*H10)+5</f>
        <v>5</v>
      </c>
      <c r="X19" s="32">
        <v>7</v>
      </c>
      <c r="Y19" s="8" t="s">
        <v>37</v>
      </c>
      <c r="Z19" s="8"/>
      <c r="AA19" s="180"/>
      <c r="AB19" s="312"/>
      <c r="AC19" s="313"/>
      <c r="AD19" s="313"/>
      <c r="AE19" s="314"/>
      <c r="AF19" s="24"/>
      <c r="AG19" s="7"/>
      <c r="AH19" s="8"/>
      <c r="AI19" s="8"/>
      <c r="AJ19" s="30"/>
      <c r="AK19" s="5" t="s">
        <v>3</v>
      </c>
      <c r="AL19" s="31"/>
      <c r="AM19" s="32"/>
      <c r="AN19" s="8"/>
      <c r="AO19" s="8"/>
      <c r="AP19" s="180"/>
      <c r="AQ19" s="312"/>
      <c r="AR19" s="313"/>
      <c r="AS19" s="313"/>
      <c r="AT19" s="314"/>
      <c r="AU19" s="25"/>
      <c r="AV19" s="7"/>
      <c r="AW19" s="8"/>
      <c r="AX19" s="8"/>
      <c r="AY19" s="30"/>
      <c r="AZ19" s="5" t="s">
        <v>3</v>
      </c>
      <c r="BA19" s="31"/>
      <c r="BB19" s="32"/>
      <c r="BC19" s="8"/>
      <c r="BD19" s="8"/>
      <c r="BE19" s="180"/>
      <c r="BF19" s="312"/>
      <c r="BG19" s="313"/>
      <c r="BH19" s="313"/>
      <c r="BI19" s="314"/>
      <c r="BL19" s="27" t="s">
        <v>74</v>
      </c>
      <c r="BN19" s="27" t="s">
        <v>17</v>
      </c>
      <c r="BP19" s="27" t="s">
        <v>75</v>
      </c>
      <c r="BR19" s="27" t="s">
        <v>76</v>
      </c>
    </row>
    <row r="20" spans="3:70" ht="17" thickBot="1" x14ac:dyDescent="0.25">
      <c r="C20" s="120" t="s">
        <v>93</v>
      </c>
      <c r="D20" s="121">
        <v>1</v>
      </c>
      <c r="E20" s="121">
        <v>1</v>
      </c>
      <c r="F20" s="34">
        <f>(0.86*F10)-5</f>
        <v>-5</v>
      </c>
      <c r="G20" s="170" t="s">
        <v>3</v>
      </c>
      <c r="H20" s="35">
        <f>(0.86*F10)+5</f>
        <v>5</v>
      </c>
      <c r="I20" s="29">
        <v>7</v>
      </c>
      <c r="J20" s="121" t="s">
        <v>57</v>
      </c>
      <c r="K20" s="121"/>
      <c r="L20" s="181"/>
      <c r="M20" s="304"/>
      <c r="N20" s="305"/>
      <c r="O20" s="305"/>
      <c r="P20" s="306"/>
      <c r="Q20" s="24"/>
      <c r="R20" s="84" t="s">
        <v>72</v>
      </c>
      <c r="S20" s="85">
        <v>3</v>
      </c>
      <c r="T20" s="10">
        <v>3</v>
      </c>
      <c r="U20" s="44">
        <f>(0.77*F11)-5</f>
        <v>-5</v>
      </c>
      <c r="V20" s="4" t="s">
        <v>3</v>
      </c>
      <c r="W20" s="35">
        <f>(0.77*F11)+5</f>
        <v>5</v>
      </c>
      <c r="X20" s="29">
        <v>6</v>
      </c>
      <c r="Y20" s="10" t="s">
        <v>57</v>
      </c>
      <c r="Z20" s="10"/>
      <c r="AA20" s="181"/>
      <c r="AB20" s="304"/>
      <c r="AC20" s="305"/>
      <c r="AD20" s="305"/>
      <c r="AE20" s="306"/>
      <c r="AF20" s="24"/>
      <c r="AG20" s="64" t="s">
        <v>70</v>
      </c>
      <c r="AH20" s="10">
        <v>3</v>
      </c>
      <c r="AI20" s="10">
        <v>5</v>
      </c>
      <c r="AJ20" s="44">
        <f>IF(AG20="1ct. WK-Kreuzheben",((0.75*H12)-5),((0.75*H11)-5))</f>
        <v>-5</v>
      </c>
      <c r="AK20" s="4" t="s">
        <v>3</v>
      </c>
      <c r="AL20" s="35">
        <f>IF(AG20="1ct. WK-Kreuzheben",((0.75*H12)+5),((0.75*H11)+5))</f>
        <v>5</v>
      </c>
      <c r="AM20" s="29">
        <v>7</v>
      </c>
      <c r="AN20" s="10" t="s">
        <v>37</v>
      </c>
      <c r="AO20" s="10"/>
      <c r="AP20" s="181"/>
      <c r="AQ20" s="304"/>
      <c r="AR20" s="305"/>
      <c r="AS20" s="305"/>
      <c r="AT20" s="306"/>
      <c r="AU20" s="25"/>
      <c r="AV20" s="9" t="s">
        <v>99</v>
      </c>
      <c r="AW20" s="10">
        <v>2</v>
      </c>
      <c r="AX20" s="10">
        <v>5</v>
      </c>
      <c r="AY20" s="44">
        <f>(0.72*F13)-5</f>
        <v>-5</v>
      </c>
      <c r="AZ20" s="4" t="s">
        <v>3</v>
      </c>
      <c r="BA20" s="35">
        <f>(0.72*F13)+5</f>
        <v>5</v>
      </c>
      <c r="BB20" s="29" t="s">
        <v>29</v>
      </c>
      <c r="BC20" s="10" t="s">
        <v>57</v>
      </c>
      <c r="BD20" s="10"/>
      <c r="BE20" s="181"/>
      <c r="BF20" s="304"/>
      <c r="BG20" s="305"/>
      <c r="BH20" s="305"/>
      <c r="BI20" s="306"/>
      <c r="BL20" s="27" t="s">
        <v>77</v>
      </c>
      <c r="BN20" s="27" t="s">
        <v>78</v>
      </c>
      <c r="BP20" s="27" t="s">
        <v>79</v>
      </c>
      <c r="BR20" s="27" t="s">
        <v>80</v>
      </c>
    </row>
    <row r="21" spans="3:70" ht="17" thickBot="1" x14ac:dyDescent="0.25">
      <c r="C21" s="120" t="s">
        <v>93</v>
      </c>
      <c r="D21" s="121">
        <v>3</v>
      </c>
      <c r="E21" s="121">
        <v>5</v>
      </c>
      <c r="F21" s="34">
        <f>(0.75*F10)-5</f>
        <v>-5</v>
      </c>
      <c r="G21" s="170" t="s">
        <v>3</v>
      </c>
      <c r="H21" s="35">
        <f>(0.75*F10)+5</f>
        <v>5</v>
      </c>
      <c r="I21" s="29">
        <v>7</v>
      </c>
      <c r="J21" s="121" t="s">
        <v>57</v>
      </c>
      <c r="K21" s="121"/>
      <c r="L21" s="181"/>
      <c r="M21" s="304"/>
      <c r="N21" s="305"/>
      <c r="O21" s="305"/>
      <c r="P21" s="306"/>
      <c r="Q21" s="24"/>
      <c r="R21" s="86" t="s">
        <v>68</v>
      </c>
      <c r="S21" s="67">
        <v>3</v>
      </c>
      <c r="T21" s="67">
        <v>3</v>
      </c>
      <c r="U21" s="68">
        <f>IF(R21="2ct. WK-Kniebeuge",(D11*0.77)-5,(D12*0.77)-5)</f>
        <v>-5</v>
      </c>
      <c r="V21" s="69" t="s">
        <v>3</v>
      </c>
      <c r="W21" s="70">
        <f>IF(R21="2ct. WK-Kniebeuge",(D11*0.77)+5,(D12*0.77)+5)</f>
        <v>5</v>
      </c>
      <c r="X21" s="71">
        <v>6</v>
      </c>
      <c r="Y21" s="67" t="s">
        <v>58</v>
      </c>
      <c r="Z21" s="67"/>
      <c r="AA21" s="186"/>
      <c r="AB21" s="364" t="s">
        <v>30</v>
      </c>
      <c r="AC21" s="365"/>
      <c r="AD21" s="365"/>
      <c r="AE21" s="366"/>
      <c r="AF21" s="24"/>
      <c r="AG21" s="65" t="s">
        <v>77</v>
      </c>
      <c r="AH21" s="8">
        <v>3</v>
      </c>
      <c r="AI21" s="28" t="s">
        <v>33</v>
      </c>
      <c r="AJ21" s="30"/>
      <c r="AK21" s="5" t="s">
        <v>3</v>
      </c>
      <c r="AL21" s="31"/>
      <c r="AM21" s="32" t="s">
        <v>28</v>
      </c>
      <c r="AN21" s="8"/>
      <c r="AO21" s="8"/>
      <c r="AP21" s="180"/>
      <c r="AQ21" s="312"/>
      <c r="AR21" s="313"/>
      <c r="AS21" s="313"/>
      <c r="AT21" s="314"/>
      <c r="AU21" s="25"/>
      <c r="AV21" s="65" t="s">
        <v>15</v>
      </c>
      <c r="AW21" s="8">
        <v>3</v>
      </c>
      <c r="AX21" s="32" t="s">
        <v>33</v>
      </c>
      <c r="AY21" s="33"/>
      <c r="AZ21" s="5" t="s">
        <v>3</v>
      </c>
      <c r="BA21" s="31"/>
      <c r="BB21" s="32" t="s">
        <v>28</v>
      </c>
      <c r="BC21" s="8"/>
      <c r="BD21" s="8"/>
      <c r="BE21" s="180"/>
      <c r="BF21" s="312"/>
      <c r="BG21" s="313"/>
      <c r="BH21" s="313"/>
      <c r="BI21" s="314"/>
      <c r="BL21" s="27" t="s">
        <v>60</v>
      </c>
      <c r="BN21" s="27" t="s">
        <v>0</v>
      </c>
      <c r="BP21" s="27" t="s">
        <v>23</v>
      </c>
      <c r="BR21" s="27" t="s">
        <v>15</v>
      </c>
    </row>
    <row r="22" spans="3:70" ht="17" thickBot="1" x14ac:dyDescent="0.25">
      <c r="C22" s="65" t="s">
        <v>79</v>
      </c>
      <c r="D22" s="119">
        <v>2</v>
      </c>
      <c r="E22" s="119">
        <v>8</v>
      </c>
      <c r="F22" s="30"/>
      <c r="G22" s="171" t="s">
        <v>3</v>
      </c>
      <c r="H22" s="31"/>
      <c r="I22" s="32" t="s">
        <v>28</v>
      </c>
      <c r="J22" s="119"/>
      <c r="K22" s="119"/>
      <c r="L22" s="180"/>
      <c r="M22" s="312"/>
      <c r="N22" s="313"/>
      <c r="O22" s="313"/>
      <c r="P22" s="314"/>
      <c r="Q22" s="24"/>
      <c r="R22" s="49" t="s">
        <v>78</v>
      </c>
      <c r="S22" s="10">
        <v>2</v>
      </c>
      <c r="T22" s="10" t="str">
        <f>IF(OR(R22="Dips",R22="Military Press"),"5","6-8")</f>
        <v>6-8</v>
      </c>
      <c r="U22" s="44"/>
      <c r="V22" s="4" t="s">
        <v>3</v>
      </c>
      <c r="W22" s="35"/>
      <c r="X22" s="29" t="s">
        <v>28</v>
      </c>
      <c r="Y22" s="10"/>
      <c r="Z22" s="10"/>
      <c r="AA22" s="181"/>
      <c r="AB22" s="304"/>
      <c r="AC22" s="305"/>
      <c r="AD22" s="305"/>
      <c r="AE22" s="306"/>
      <c r="AF22" s="24"/>
      <c r="AG22" s="9" t="s">
        <v>24</v>
      </c>
      <c r="AH22" s="10">
        <v>3</v>
      </c>
      <c r="AI22" s="10">
        <v>8</v>
      </c>
      <c r="AJ22" s="44"/>
      <c r="AK22" s="4" t="s">
        <v>3</v>
      </c>
      <c r="AL22" s="35"/>
      <c r="AM22" s="29" t="s">
        <v>28</v>
      </c>
      <c r="AN22" s="10"/>
      <c r="AO22" s="10"/>
      <c r="AP22" s="181"/>
      <c r="AQ22" s="304"/>
      <c r="AR22" s="305"/>
      <c r="AS22" s="305"/>
      <c r="AT22" s="306"/>
      <c r="AU22" s="25"/>
      <c r="AV22" s="64" t="s">
        <v>87</v>
      </c>
      <c r="AW22" s="10">
        <v>3</v>
      </c>
      <c r="AX22" s="29" t="s">
        <v>38</v>
      </c>
      <c r="AY22" s="44"/>
      <c r="AZ22" s="4" t="s">
        <v>3</v>
      </c>
      <c r="BA22" s="35"/>
      <c r="BB22" s="29" t="s">
        <v>28</v>
      </c>
      <c r="BC22" s="10"/>
      <c r="BD22" s="10"/>
      <c r="BE22" s="181"/>
      <c r="BF22" s="304"/>
      <c r="BG22" s="305"/>
      <c r="BH22" s="305"/>
      <c r="BI22" s="306"/>
      <c r="BL22" s="27" t="s">
        <v>61</v>
      </c>
      <c r="BN22" s="27" t="s">
        <v>81</v>
      </c>
      <c r="BP22" s="27" t="s">
        <v>21</v>
      </c>
      <c r="BR22" s="27" t="s">
        <v>25</v>
      </c>
    </row>
    <row r="23" spans="3:70" ht="17" thickBot="1" x14ac:dyDescent="0.25">
      <c r="C23" s="187" t="s">
        <v>78</v>
      </c>
      <c r="D23" s="121">
        <v>3</v>
      </c>
      <c r="E23" s="121">
        <f>IF(OR(C23="Dips",C23="LH Schulterdrücken"),5,8)</f>
        <v>8</v>
      </c>
      <c r="F23" s="34"/>
      <c r="G23" s="170" t="s">
        <v>3</v>
      </c>
      <c r="H23" s="35"/>
      <c r="I23" s="29" t="s">
        <v>28</v>
      </c>
      <c r="J23" s="121"/>
      <c r="K23" s="121"/>
      <c r="L23" s="181"/>
      <c r="M23" s="304"/>
      <c r="N23" s="305"/>
      <c r="O23" s="305"/>
      <c r="P23" s="306"/>
      <c r="Q23" s="24"/>
      <c r="R23" s="7" t="s">
        <v>19</v>
      </c>
      <c r="S23" s="32" t="s">
        <v>34</v>
      </c>
      <c r="T23" s="32" t="s">
        <v>35</v>
      </c>
      <c r="U23" s="30"/>
      <c r="V23" s="5" t="s">
        <v>3</v>
      </c>
      <c r="W23" s="31"/>
      <c r="X23" s="32" t="s">
        <v>28</v>
      </c>
      <c r="Y23" s="8"/>
      <c r="Z23" s="8"/>
      <c r="AA23" s="180"/>
      <c r="AB23" s="312"/>
      <c r="AC23" s="313"/>
      <c r="AD23" s="313"/>
      <c r="AE23" s="314"/>
      <c r="AF23" s="24"/>
      <c r="AG23" s="118" t="s">
        <v>96</v>
      </c>
      <c r="AH23" s="8">
        <v>2</v>
      </c>
      <c r="AI23" s="8"/>
      <c r="AJ23" s="30"/>
      <c r="AK23" s="5" t="s">
        <v>3</v>
      </c>
      <c r="AL23" s="31"/>
      <c r="AM23" s="8"/>
      <c r="AN23" s="8"/>
      <c r="AO23" s="8"/>
      <c r="AP23" s="180"/>
      <c r="AQ23" s="312"/>
      <c r="AR23" s="313"/>
      <c r="AS23" s="313"/>
      <c r="AT23" s="314"/>
      <c r="AU23" s="25"/>
      <c r="AV23" s="112"/>
      <c r="AW23" s="113"/>
      <c r="AX23" s="113"/>
      <c r="AY23" s="111"/>
      <c r="AZ23" s="56"/>
      <c r="BA23" s="114"/>
      <c r="BB23" s="113"/>
      <c r="BC23" s="113"/>
      <c r="BD23" s="113"/>
      <c r="BE23" s="56"/>
      <c r="BF23" s="312"/>
      <c r="BG23" s="313"/>
      <c r="BH23" s="313"/>
      <c r="BI23" s="314"/>
      <c r="BL23" s="27" t="s">
        <v>82</v>
      </c>
      <c r="BN23" s="27" t="s">
        <v>83</v>
      </c>
      <c r="BP23" s="27" t="s">
        <v>22</v>
      </c>
      <c r="BR23" s="27" t="s">
        <v>16</v>
      </c>
    </row>
    <row r="24" spans="3:70" ht="17" thickBot="1" x14ac:dyDescent="0.25">
      <c r="C24" s="214" t="s">
        <v>77</v>
      </c>
      <c r="D24" s="119">
        <v>3</v>
      </c>
      <c r="E24" s="279" t="str">
        <f>IF(OR(C24="Pendlay Rudern"),"6","6-8")</f>
        <v>6-8</v>
      </c>
      <c r="F24" s="30"/>
      <c r="G24" s="171" t="s">
        <v>3</v>
      </c>
      <c r="H24" s="31"/>
      <c r="I24" s="32" t="s">
        <v>28</v>
      </c>
      <c r="J24" s="119"/>
      <c r="K24" s="119"/>
      <c r="L24" s="180"/>
      <c r="M24" s="312"/>
      <c r="N24" s="313"/>
      <c r="O24" s="313"/>
      <c r="P24" s="314"/>
      <c r="Q24" s="24"/>
      <c r="R24" s="9" t="s">
        <v>20</v>
      </c>
      <c r="S24" s="29" t="s">
        <v>34</v>
      </c>
      <c r="T24" s="29" t="s">
        <v>35</v>
      </c>
      <c r="U24" s="44"/>
      <c r="V24" s="4" t="s">
        <v>3</v>
      </c>
      <c r="W24" s="35"/>
      <c r="X24" s="29" t="s">
        <v>28</v>
      </c>
      <c r="Y24" s="10"/>
      <c r="Z24" s="10"/>
      <c r="AA24" s="181"/>
      <c r="AB24" s="304"/>
      <c r="AC24" s="305"/>
      <c r="AD24" s="305"/>
      <c r="AE24" s="306"/>
      <c r="AF24" s="24"/>
      <c r="AG24" s="9"/>
      <c r="AH24" s="10"/>
      <c r="AI24" s="10"/>
      <c r="AJ24" s="44"/>
      <c r="AK24" s="4" t="s">
        <v>3</v>
      </c>
      <c r="AL24" s="35"/>
      <c r="AM24" s="10"/>
      <c r="AN24" s="10"/>
      <c r="AO24" s="10"/>
      <c r="AP24" s="181"/>
      <c r="AQ24" s="304"/>
      <c r="AR24" s="305"/>
      <c r="AS24" s="305"/>
      <c r="AT24" s="306"/>
      <c r="AU24" s="25"/>
      <c r="AV24" s="9"/>
      <c r="AW24" s="10"/>
      <c r="AX24" s="10"/>
      <c r="AY24" s="44"/>
      <c r="AZ24" s="4" t="s">
        <v>3</v>
      </c>
      <c r="BA24" s="35"/>
      <c r="BB24" s="10"/>
      <c r="BC24" s="10"/>
      <c r="BD24" s="10"/>
      <c r="BE24" s="181"/>
      <c r="BF24" s="304"/>
      <c r="BG24" s="305"/>
      <c r="BH24" s="305"/>
      <c r="BI24" s="306"/>
      <c r="BL24" s="27" t="s">
        <v>84</v>
      </c>
      <c r="BN24" s="27" t="s">
        <v>85</v>
      </c>
      <c r="BR24" s="27" t="s">
        <v>17</v>
      </c>
    </row>
    <row r="25" spans="3:70" ht="17" thickBot="1" x14ac:dyDescent="0.25">
      <c r="C25" s="196" t="s">
        <v>96</v>
      </c>
      <c r="D25" s="101">
        <v>2</v>
      </c>
      <c r="E25" s="101"/>
      <c r="F25" s="102"/>
      <c r="G25" s="3" t="s">
        <v>3</v>
      </c>
      <c r="H25" s="103"/>
      <c r="I25" s="101"/>
      <c r="J25" s="101"/>
      <c r="K25" s="101"/>
      <c r="L25" s="184"/>
      <c r="M25" s="334"/>
      <c r="N25" s="335"/>
      <c r="O25" s="335"/>
      <c r="P25" s="336"/>
      <c r="Q25" s="24"/>
      <c r="R25" s="11"/>
      <c r="S25" s="12"/>
      <c r="T25" s="12"/>
      <c r="U25" s="45"/>
      <c r="V25" s="6" t="s">
        <v>3</v>
      </c>
      <c r="W25" s="36"/>
      <c r="X25" s="12"/>
      <c r="Y25" s="12"/>
      <c r="Z25" s="12"/>
      <c r="AA25" s="182"/>
      <c r="AB25" s="321"/>
      <c r="AC25" s="322"/>
      <c r="AD25" s="322"/>
      <c r="AE25" s="323"/>
      <c r="AF25" s="24"/>
      <c r="AG25" s="11"/>
      <c r="AH25" s="12"/>
      <c r="AI25" s="12"/>
      <c r="AJ25" s="45"/>
      <c r="AK25" s="6" t="s">
        <v>3</v>
      </c>
      <c r="AL25" s="36"/>
      <c r="AM25" s="12"/>
      <c r="AN25" s="12"/>
      <c r="AO25" s="12"/>
      <c r="AP25" s="182"/>
      <c r="AQ25" s="321"/>
      <c r="AR25" s="322"/>
      <c r="AS25" s="322"/>
      <c r="AT25" s="323"/>
      <c r="AU25" s="25"/>
      <c r="AV25" s="11"/>
      <c r="AW25" s="12"/>
      <c r="AX25" s="12"/>
      <c r="AY25" s="45"/>
      <c r="AZ25" s="6" t="s">
        <v>3</v>
      </c>
      <c r="BA25" s="36"/>
      <c r="BB25" s="12"/>
      <c r="BC25" s="12"/>
      <c r="BD25" s="12"/>
      <c r="BE25" s="182"/>
      <c r="BF25" s="321"/>
      <c r="BG25" s="322"/>
      <c r="BH25" s="322"/>
      <c r="BI25" s="323"/>
      <c r="BL25" s="27" t="s">
        <v>1</v>
      </c>
      <c r="BN25" s="27" t="s">
        <v>86</v>
      </c>
    </row>
    <row r="26" spans="3:70" x14ac:dyDescent="0.2">
      <c r="F26"/>
      <c r="H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</row>
    <row r="27" spans="3:70" ht="16" thickBot="1" x14ac:dyDescent="0.25">
      <c r="BR27" s="27" t="s">
        <v>70</v>
      </c>
    </row>
    <row r="28" spans="3:70" ht="25" thickBot="1" x14ac:dyDescent="0.25">
      <c r="C28" s="95" t="s">
        <v>12</v>
      </c>
      <c r="D28" s="1"/>
      <c r="E28" s="1"/>
      <c r="F28" s="43"/>
      <c r="G28" s="1"/>
      <c r="H28" s="46"/>
      <c r="I28" s="1"/>
      <c r="J28" s="1"/>
      <c r="K28" s="1"/>
      <c r="L28" s="1"/>
      <c r="M28" s="1"/>
      <c r="N28" s="1"/>
      <c r="O28" s="1"/>
      <c r="P28" s="1"/>
      <c r="BN28" s="27" t="s">
        <v>87</v>
      </c>
      <c r="BR28" s="27" t="s">
        <v>98</v>
      </c>
    </row>
    <row r="29" spans="3:70" ht="20" thickBot="1" x14ac:dyDescent="0.3">
      <c r="C29" s="142" t="s">
        <v>109</v>
      </c>
      <c r="D29" s="299" t="s">
        <v>128</v>
      </c>
      <c r="E29" s="299" t="s">
        <v>54</v>
      </c>
      <c r="F29" s="308" t="s">
        <v>27</v>
      </c>
      <c r="G29" s="308"/>
      <c r="H29" s="309"/>
      <c r="I29" s="299" t="s">
        <v>5</v>
      </c>
      <c r="J29" s="299" t="s">
        <v>129</v>
      </c>
      <c r="K29" s="299" t="s">
        <v>7</v>
      </c>
      <c r="L29" s="298" t="s">
        <v>63</v>
      </c>
      <c r="M29" s="310" t="s">
        <v>6</v>
      </c>
      <c r="N29" s="308"/>
      <c r="O29" s="308"/>
      <c r="P29" s="311"/>
      <c r="R29" s="142" t="s">
        <v>114</v>
      </c>
      <c r="S29" s="299" t="s">
        <v>128</v>
      </c>
      <c r="T29" s="299" t="s">
        <v>54</v>
      </c>
      <c r="U29" s="308" t="s">
        <v>27</v>
      </c>
      <c r="V29" s="308"/>
      <c r="W29" s="309"/>
      <c r="X29" s="299" t="s">
        <v>5</v>
      </c>
      <c r="Y29" s="299" t="s">
        <v>129</v>
      </c>
      <c r="Z29" s="299" t="s">
        <v>7</v>
      </c>
      <c r="AA29" s="298" t="s">
        <v>63</v>
      </c>
      <c r="AB29" s="310" t="s">
        <v>6</v>
      </c>
      <c r="AC29" s="308"/>
      <c r="AD29" s="308"/>
      <c r="AE29" s="311"/>
      <c r="AG29" s="142" t="s">
        <v>119</v>
      </c>
      <c r="AH29" s="299" t="s">
        <v>128</v>
      </c>
      <c r="AI29" s="299" t="s">
        <v>54</v>
      </c>
      <c r="AJ29" s="308" t="s">
        <v>27</v>
      </c>
      <c r="AK29" s="308"/>
      <c r="AL29" s="309"/>
      <c r="AM29" s="299" t="s">
        <v>5</v>
      </c>
      <c r="AN29" s="299" t="s">
        <v>129</v>
      </c>
      <c r="AO29" s="299" t="s">
        <v>7</v>
      </c>
      <c r="AP29" s="298" t="s">
        <v>63</v>
      </c>
      <c r="AQ29" s="310" t="s">
        <v>6</v>
      </c>
      <c r="AR29" s="308"/>
      <c r="AS29" s="308"/>
      <c r="AT29" s="311"/>
      <c r="AU29" s="26"/>
      <c r="AV29" s="142" t="s">
        <v>124</v>
      </c>
      <c r="AW29" s="299" t="s">
        <v>128</v>
      </c>
      <c r="AX29" s="299" t="s">
        <v>54</v>
      </c>
      <c r="AY29" s="308" t="s">
        <v>27</v>
      </c>
      <c r="AZ29" s="308"/>
      <c r="BA29" s="309"/>
      <c r="BB29" s="299" t="s">
        <v>5</v>
      </c>
      <c r="BC29" s="299" t="s">
        <v>129</v>
      </c>
      <c r="BD29" s="299" t="s">
        <v>7</v>
      </c>
      <c r="BE29" s="298" t="s">
        <v>63</v>
      </c>
      <c r="BF29" s="310" t="s">
        <v>6</v>
      </c>
      <c r="BG29" s="308"/>
      <c r="BH29" s="308"/>
      <c r="BI29" s="311"/>
      <c r="BL29" s="27" t="s">
        <v>77</v>
      </c>
      <c r="BN29" s="27" t="s">
        <v>88</v>
      </c>
      <c r="BR29" s="27" t="s">
        <v>97</v>
      </c>
    </row>
    <row r="30" spans="3:70" ht="16" x14ac:dyDescent="0.2">
      <c r="C30" s="118" t="s">
        <v>92</v>
      </c>
      <c r="D30" s="8">
        <v>1</v>
      </c>
      <c r="E30" s="8">
        <v>1</v>
      </c>
      <c r="F30" s="30">
        <f>(0.9*D10)-5</f>
        <v>-5</v>
      </c>
      <c r="G30" s="5" t="s">
        <v>3</v>
      </c>
      <c r="H30" s="31">
        <f>(0.9*D10)+5</f>
        <v>5</v>
      </c>
      <c r="I30" s="8">
        <v>8</v>
      </c>
      <c r="J30" s="119" t="s">
        <v>58</v>
      </c>
      <c r="K30" s="8"/>
      <c r="L30" s="180"/>
      <c r="M30" s="318"/>
      <c r="N30" s="319"/>
      <c r="O30" s="319"/>
      <c r="P30" s="320"/>
      <c r="R30" s="118" t="s">
        <v>94</v>
      </c>
      <c r="S30" s="8">
        <v>1</v>
      </c>
      <c r="T30" s="8">
        <v>1</v>
      </c>
      <c r="U30" s="30">
        <f>(0.9*H10)-5</f>
        <v>-5</v>
      </c>
      <c r="V30" s="5" t="s">
        <v>3</v>
      </c>
      <c r="W30" s="31">
        <f>(0.9*H10)+5</f>
        <v>5</v>
      </c>
      <c r="X30" s="8">
        <v>8</v>
      </c>
      <c r="Y30" s="119" t="s">
        <v>37</v>
      </c>
      <c r="Z30" s="8"/>
      <c r="AA30" s="180"/>
      <c r="AB30" s="318"/>
      <c r="AC30" s="319"/>
      <c r="AD30" s="319"/>
      <c r="AE30" s="320"/>
      <c r="AG30" s="118" t="s">
        <v>92</v>
      </c>
      <c r="AH30" s="8">
        <v>4</v>
      </c>
      <c r="AI30" s="8">
        <v>3</v>
      </c>
      <c r="AJ30" s="30">
        <f>(0.83*D10)-5</f>
        <v>-5</v>
      </c>
      <c r="AK30" s="5" t="s">
        <v>3</v>
      </c>
      <c r="AL30" s="31">
        <f>(0.83*D10)+5</f>
        <v>5</v>
      </c>
      <c r="AM30" s="8">
        <v>8</v>
      </c>
      <c r="AN30" s="119" t="s">
        <v>58</v>
      </c>
      <c r="AO30" s="8"/>
      <c r="AP30" s="180"/>
      <c r="AQ30" s="318"/>
      <c r="AR30" s="319"/>
      <c r="AS30" s="319"/>
      <c r="AT30" s="320"/>
      <c r="AU30" s="25"/>
      <c r="AV30" s="118" t="s">
        <v>93</v>
      </c>
      <c r="AW30" s="8">
        <v>3</v>
      </c>
      <c r="AX30" s="8">
        <v>3</v>
      </c>
      <c r="AY30" s="30">
        <f>(0.83*F10)-5</f>
        <v>-5</v>
      </c>
      <c r="AZ30" s="5" t="s">
        <v>3</v>
      </c>
      <c r="BA30" s="31">
        <f>(0.83*F10)+5</f>
        <v>5</v>
      </c>
      <c r="BB30" s="8">
        <v>8</v>
      </c>
      <c r="BC30" s="119" t="s">
        <v>57</v>
      </c>
      <c r="BD30" s="8"/>
      <c r="BE30" s="180"/>
      <c r="BF30" s="318"/>
      <c r="BG30" s="319"/>
      <c r="BH30" s="319"/>
      <c r="BI30" s="320"/>
      <c r="BL30" s="27" t="s">
        <v>91</v>
      </c>
      <c r="BN30" s="27" t="s">
        <v>89</v>
      </c>
    </row>
    <row r="31" spans="3:70" ht="16" x14ac:dyDescent="0.2">
      <c r="C31" s="118" t="s">
        <v>92</v>
      </c>
      <c r="D31" s="8">
        <v>3</v>
      </c>
      <c r="E31" s="8">
        <v>4</v>
      </c>
      <c r="F31" s="30">
        <f>(0.8*D10)-5</f>
        <v>-5</v>
      </c>
      <c r="G31" s="5" t="s">
        <v>3</v>
      </c>
      <c r="H31" s="31">
        <f>(0.8*D10)+5</f>
        <v>5</v>
      </c>
      <c r="I31" s="32" t="s">
        <v>28</v>
      </c>
      <c r="J31" s="119" t="s">
        <v>58</v>
      </c>
      <c r="K31" s="8"/>
      <c r="L31" s="180"/>
      <c r="M31" s="312"/>
      <c r="N31" s="313"/>
      <c r="O31" s="313"/>
      <c r="P31" s="314"/>
      <c r="R31" s="118" t="s">
        <v>94</v>
      </c>
      <c r="S31" s="8">
        <v>3</v>
      </c>
      <c r="T31" s="8">
        <v>3</v>
      </c>
      <c r="U31" s="30">
        <f>(0.83*H10)-5</f>
        <v>-5</v>
      </c>
      <c r="V31" s="5" t="s">
        <v>3</v>
      </c>
      <c r="W31" s="31">
        <f>(0.83*H10)+5</f>
        <v>5</v>
      </c>
      <c r="X31" s="8">
        <v>8</v>
      </c>
      <c r="Y31" s="119" t="s">
        <v>37</v>
      </c>
      <c r="Z31" s="8"/>
      <c r="AA31" s="180"/>
      <c r="AB31" s="52"/>
      <c r="AC31" s="53"/>
      <c r="AD31" s="53"/>
      <c r="AE31" s="54"/>
      <c r="AG31" s="7"/>
      <c r="AH31" s="8"/>
      <c r="AI31" s="8"/>
      <c r="AJ31" s="30"/>
      <c r="AK31" s="5" t="s">
        <v>3</v>
      </c>
      <c r="AL31" s="31"/>
      <c r="AM31" s="8"/>
      <c r="AN31" s="119"/>
      <c r="AO31" s="8"/>
      <c r="AP31" s="180"/>
      <c r="AQ31" s="312"/>
      <c r="AR31" s="313"/>
      <c r="AS31" s="313"/>
      <c r="AT31" s="314"/>
      <c r="AU31" s="25"/>
      <c r="AV31" s="118"/>
      <c r="AW31" s="8"/>
      <c r="AX31" s="8"/>
      <c r="AY31" s="30"/>
      <c r="AZ31" s="5" t="s">
        <v>3</v>
      </c>
      <c r="BA31" s="31"/>
      <c r="BB31" s="8"/>
      <c r="BC31" s="119"/>
      <c r="BD31" s="8"/>
      <c r="BE31" s="180"/>
      <c r="BF31" s="312"/>
      <c r="BG31" s="313"/>
      <c r="BH31" s="313"/>
      <c r="BI31" s="314"/>
      <c r="BL31" s="27" t="s">
        <v>60</v>
      </c>
      <c r="BN31" s="27" t="s">
        <v>90</v>
      </c>
    </row>
    <row r="32" spans="3:70" ht="16" x14ac:dyDescent="0.2">
      <c r="C32" s="120" t="s">
        <v>93</v>
      </c>
      <c r="D32" s="10">
        <v>1</v>
      </c>
      <c r="E32" s="10">
        <v>1</v>
      </c>
      <c r="F32" s="34">
        <f>(0.9*F10)-5</f>
        <v>-5</v>
      </c>
      <c r="G32" s="4" t="s">
        <v>3</v>
      </c>
      <c r="H32" s="35">
        <f>(0.9*F10)+5</f>
        <v>5</v>
      </c>
      <c r="I32" s="10">
        <v>8</v>
      </c>
      <c r="J32" s="121" t="s">
        <v>57</v>
      </c>
      <c r="K32" s="10"/>
      <c r="L32" s="181"/>
      <c r="M32" s="304"/>
      <c r="N32" s="305"/>
      <c r="O32" s="305"/>
      <c r="P32" s="306"/>
      <c r="R32" s="9" t="str">
        <f>R20</f>
        <v>3ct. WK-Bankdrücken</v>
      </c>
      <c r="S32" s="10">
        <v>3</v>
      </c>
      <c r="T32" s="10">
        <v>3</v>
      </c>
      <c r="U32" s="44">
        <f>(0.77*F11)-5</f>
        <v>-5</v>
      </c>
      <c r="V32" s="4" t="s">
        <v>3</v>
      </c>
      <c r="W32" s="35">
        <f>(0.77*F11)+5</f>
        <v>5</v>
      </c>
      <c r="X32" s="10">
        <v>6</v>
      </c>
      <c r="Y32" s="121" t="s">
        <v>57</v>
      </c>
      <c r="Z32" s="10"/>
      <c r="AA32" s="181"/>
      <c r="AB32" s="304"/>
      <c r="AC32" s="305"/>
      <c r="AD32" s="305"/>
      <c r="AE32" s="306"/>
      <c r="AG32" s="9" t="str">
        <f>AG20</f>
        <v>Kreuzheben - Variation</v>
      </c>
      <c r="AH32" s="85">
        <v>3</v>
      </c>
      <c r="AI32" s="10">
        <v>4</v>
      </c>
      <c r="AJ32" s="44">
        <f>IF(AG20="1ct. WK-Kreuzheben",((0.78*H12)-5),((0.78*H11)-5))</f>
        <v>-5</v>
      </c>
      <c r="AK32" s="4" t="s">
        <v>3</v>
      </c>
      <c r="AL32" s="35">
        <f>IF(AG20="1ct. WK-Kreuzheben",((0.78*H12)+5),((0.78*H11)+5))</f>
        <v>5</v>
      </c>
      <c r="AM32" s="29" t="s">
        <v>28</v>
      </c>
      <c r="AN32" s="121" t="s">
        <v>37</v>
      </c>
      <c r="AO32" s="10"/>
      <c r="AP32" s="181"/>
      <c r="AQ32" s="304"/>
      <c r="AR32" s="305"/>
      <c r="AS32" s="305"/>
      <c r="AT32" s="306"/>
      <c r="AU32" s="25"/>
      <c r="AV32" s="120" t="s">
        <v>99</v>
      </c>
      <c r="AW32" s="10">
        <v>2</v>
      </c>
      <c r="AX32" s="10">
        <v>5</v>
      </c>
      <c r="AY32" s="44">
        <f>(0.74*F13)-5</f>
        <v>-5</v>
      </c>
      <c r="AZ32" s="4" t="s">
        <v>3</v>
      </c>
      <c r="BA32" s="35">
        <f>(0.74*F13)+5</f>
        <v>5</v>
      </c>
      <c r="BB32" s="10">
        <v>7</v>
      </c>
      <c r="BC32" s="121" t="s">
        <v>57</v>
      </c>
      <c r="BD32" s="10"/>
      <c r="BE32" s="181"/>
      <c r="BF32" s="304"/>
      <c r="BG32" s="305"/>
      <c r="BH32" s="305"/>
      <c r="BI32" s="306"/>
      <c r="BL32" s="27" t="s">
        <v>61</v>
      </c>
      <c r="BN32" s="27" t="s">
        <v>18</v>
      </c>
    </row>
    <row r="33" spans="3:61" ht="16" x14ac:dyDescent="0.2">
      <c r="C33" s="120" t="s">
        <v>93</v>
      </c>
      <c r="D33" s="10">
        <v>3</v>
      </c>
      <c r="E33" s="10">
        <v>4</v>
      </c>
      <c r="F33" s="34">
        <f>(0.78*F10)-5</f>
        <v>-5</v>
      </c>
      <c r="G33" s="4" t="s">
        <v>3</v>
      </c>
      <c r="H33" s="35">
        <f>(0.78*F10)+5</f>
        <v>5</v>
      </c>
      <c r="I33" s="29" t="s">
        <v>28</v>
      </c>
      <c r="J33" s="121" t="s">
        <v>57</v>
      </c>
      <c r="K33" s="10"/>
      <c r="L33" s="181"/>
      <c r="M33" s="304"/>
      <c r="N33" s="305"/>
      <c r="O33" s="305"/>
      <c r="P33" s="306"/>
      <c r="R33" s="72" t="str">
        <f>R21</f>
        <v>Kniebeuge - Variation</v>
      </c>
      <c r="S33" s="67">
        <v>3</v>
      </c>
      <c r="T33" s="67">
        <v>3</v>
      </c>
      <c r="U33" s="68">
        <f>IF(R21="2ct. WK-Kniebeuge",(D11*0.77)-5,(D12*0.77)-5)</f>
        <v>-5</v>
      </c>
      <c r="V33" s="69" t="s">
        <v>3</v>
      </c>
      <c r="W33" s="70">
        <f>IF(R21="2ct. WK-Kniebeuge",(D11*0.77)+5,(D12*0.77)+5)</f>
        <v>5</v>
      </c>
      <c r="X33" s="67">
        <v>6</v>
      </c>
      <c r="Y33" s="67" t="s">
        <v>58</v>
      </c>
      <c r="Z33" s="67"/>
      <c r="AA33" s="186"/>
      <c r="AB33" s="364"/>
      <c r="AC33" s="365"/>
      <c r="AD33" s="365"/>
      <c r="AE33" s="366"/>
      <c r="AG33" s="7" t="str">
        <f>AG21</f>
        <v>Rudern</v>
      </c>
      <c r="AH33" s="8">
        <v>3</v>
      </c>
      <c r="AI33" s="28" t="s">
        <v>33</v>
      </c>
      <c r="AJ33" s="30"/>
      <c r="AK33" s="5" t="s">
        <v>3</v>
      </c>
      <c r="AL33" s="31"/>
      <c r="AM33" s="32" t="s">
        <v>28</v>
      </c>
      <c r="AN33" s="8"/>
      <c r="AO33" s="8"/>
      <c r="AP33" s="180"/>
      <c r="AQ33" s="312"/>
      <c r="AR33" s="313"/>
      <c r="AS33" s="313"/>
      <c r="AT33" s="314"/>
      <c r="AU33" s="25"/>
      <c r="AV33" s="7" t="str">
        <f>AV21</f>
        <v>Latzug</v>
      </c>
      <c r="AW33" s="8">
        <v>3</v>
      </c>
      <c r="AX33" s="32" t="s">
        <v>33</v>
      </c>
      <c r="AY33" s="33"/>
      <c r="AZ33" s="5" t="s">
        <v>3</v>
      </c>
      <c r="BA33" s="31"/>
      <c r="BB33" s="32" t="s">
        <v>28</v>
      </c>
      <c r="BC33" s="8"/>
      <c r="BD33" s="8"/>
      <c r="BE33" s="180"/>
      <c r="BF33" s="312"/>
      <c r="BG33" s="313"/>
      <c r="BH33" s="313"/>
      <c r="BI33" s="314"/>
    </row>
    <row r="34" spans="3:61" ht="16" x14ac:dyDescent="0.2">
      <c r="C34" s="7" t="str">
        <f>C22</f>
        <v>Unterkörperübung, unilateral</v>
      </c>
      <c r="D34" s="8">
        <v>2</v>
      </c>
      <c r="E34" s="8">
        <v>8</v>
      </c>
      <c r="F34" s="30"/>
      <c r="G34" s="5" t="s">
        <v>3</v>
      </c>
      <c r="H34" s="31"/>
      <c r="I34" s="32" t="s">
        <v>28</v>
      </c>
      <c r="J34" s="8"/>
      <c r="K34" s="8"/>
      <c r="L34" s="180"/>
      <c r="M34" s="312"/>
      <c r="N34" s="313"/>
      <c r="O34" s="313"/>
      <c r="P34" s="314"/>
      <c r="R34" s="9" t="str">
        <f>R22</f>
        <v>Oberkörper Drückbewegung</v>
      </c>
      <c r="S34" s="10">
        <v>2</v>
      </c>
      <c r="T34" s="10" t="str">
        <f>IF(OR(R34="Dips",R34="Military Press"),"5","6-8")</f>
        <v>6-8</v>
      </c>
      <c r="U34" s="44"/>
      <c r="V34" s="4" t="s">
        <v>3</v>
      </c>
      <c r="W34" s="35"/>
      <c r="X34" s="29" t="s">
        <v>28</v>
      </c>
      <c r="Y34" s="10"/>
      <c r="Z34" s="10"/>
      <c r="AA34" s="181"/>
      <c r="AB34" s="304"/>
      <c r="AC34" s="305"/>
      <c r="AD34" s="305"/>
      <c r="AE34" s="306"/>
      <c r="AG34" s="9" t="s">
        <v>24</v>
      </c>
      <c r="AH34" s="10">
        <v>3</v>
      </c>
      <c r="AI34" s="10">
        <v>8</v>
      </c>
      <c r="AJ34" s="44"/>
      <c r="AK34" s="4" t="s">
        <v>3</v>
      </c>
      <c r="AL34" s="35"/>
      <c r="AM34" s="29" t="s">
        <v>28</v>
      </c>
      <c r="AN34" s="10"/>
      <c r="AO34" s="10"/>
      <c r="AP34" s="181"/>
      <c r="AQ34" s="304"/>
      <c r="AR34" s="305"/>
      <c r="AS34" s="305"/>
      <c r="AT34" s="306"/>
      <c r="AU34" s="25"/>
      <c r="AV34" s="9" t="str">
        <f>AV22</f>
        <v>Hintere Schulter</v>
      </c>
      <c r="AW34" s="10">
        <v>3</v>
      </c>
      <c r="AX34" s="29" t="s">
        <v>38</v>
      </c>
      <c r="AY34" s="44"/>
      <c r="AZ34" s="4" t="s">
        <v>3</v>
      </c>
      <c r="BA34" s="35"/>
      <c r="BB34" s="29" t="s">
        <v>28</v>
      </c>
      <c r="BC34" s="10"/>
      <c r="BD34" s="10"/>
      <c r="BE34" s="181"/>
      <c r="BF34" s="304"/>
      <c r="BG34" s="305"/>
      <c r="BH34" s="305"/>
      <c r="BI34" s="306"/>
    </row>
    <row r="35" spans="3:61" ht="16" x14ac:dyDescent="0.2">
      <c r="C35" s="9" t="str">
        <f>C23</f>
        <v>Oberkörper Drückbewegung</v>
      </c>
      <c r="D35" s="10">
        <v>3</v>
      </c>
      <c r="E35" s="10">
        <f>IF(OR(C23="Dips",C23="LH Schulterdrücken"),5,8)</f>
        <v>8</v>
      </c>
      <c r="F35" s="34"/>
      <c r="G35" s="4" t="s">
        <v>3</v>
      </c>
      <c r="H35" s="35"/>
      <c r="I35" s="10">
        <v>8</v>
      </c>
      <c r="J35" s="10"/>
      <c r="K35" s="10"/>
      <c r="L35" s="181"/>
      <c r="M35" s="304"/>
      <c r="N35" s="305"/>
      <c r="O35" s="305"/>
      <c r="P35" s="306"/>
      <c r="R35" s="7" t="s">
        <v>19</v>
      </c>
      <c r="S35" s="32" t="s">
        <v>34</v>
      </c>
      <c r="T35" s="32" t="s">
        <v>35</v>
      </c>
      <c r="U35" s="30"/>
      <c r="V35" s="5" t="s">
        <v>3</v>
      </c>
      <c r="W35" s="31"/>
      <c r="X35" s="32" t="s">
        <v>28</v>
      </c>
      <c r="Y35" s="8"/>
      <c r="Z35" s="8"/>
      <c r="AA35" s="180"/>
      <c r="AB35" s="312"/>
      <c r="AC35" s="313"/>
      <c r="AD35" s="313"/>
      <c r="AE35" s="314"/>
      <c r="AG35" s="118" t="s">
        <v>96</v>
      </c>
      <c r="AH35" s="8">
        <v>2</v>
      </c>
      <c r="AI35" s="8"/>
      <c r="AJ35" s="30"/>
      <c r="AK35" s="5" t="s">
        <v>3</v>
      </c>
      <c r="AL35" s="31"/>
      <c r="AM35" s="8"/>
      <c r="AN35" s="8"/>
      <c r="AO35" s="8"/>
      <c r="AP35" s="180"/>
      <c r="AQ35" s="312"/>
      <c r="AR35" s="313"/>
      <c r="AS35" s="313"/>
      <c r="AT35" s="314"/>
      <c r="AU35" s="25"/>
      <c r="AV35" s="112"/>
      <c r="AW35" s="113"/>
      <c r="AX35" s="113"/>
      <c r="AY35" s="111"/>
      <c r="AZ35" s="56"/>
      <c r="BA35" s="114"/>
      <c r="BB35" s="113"/>
      <c r="BC35" s="113"/>
      <c r="BD35" s="113"/>
      <c r="BE35" s="56"/>
      <c r="BF35" s="312"/>
      <c r="BG35" s="313"/>
      <c r="BH35" s="313"/>
      <c r="BI35" s="314"/>
    </row>
    <row r="36" spans="3:61" ht="16" x14ac:dyDescent="0.2">
      <c r="C36" s="7" t="str">
        <f>C24</f>
        <v>Rudern</v>
      </c>
      <c r="D36" s="8">
        <v>3</v>
      </c>
      <c r="E36" s="279" t="str">
        <f>IF(OR(C36="Pendlay Rudern"),"6","6-8")</f>
        <v>6-8</v>
      </c>
      <c r="F36" s="30"/>
      <c r="G36" s="5" t="s">
        <v>3</v>
      </c>
      <c r="H36" s="31"/>
      <c r="I36" s="8">
        <v>8</v>
      </c>
      <c r="J36" s="8"/>
      <c r="K36" s="8"/>
      <c r="L36" s="180"/>
      <c r="M36" s="312"/>
      <c r="N36" s="313"/>
      <c r="O36" s="313"/>
      <c r="P36" s="314"/>
      <c r="R36" s="9" t="s">
        <v>20</v>
      </c>
      <c r="S36" s="29" t="s">
        <v>34</v>
      </c>
      <c r="T36" s="29" t="s">
        <v>35</v>
      </c>
      <c r="U36" s="44"/>
      <c r="V36" s="4" t="s">
        <v>3</v>
      </c>
      <c r="W36" s="35"/>
      <c r="X36" s="29" t="s">
        <v>28</v>
      </c>
      <c r="Y36" s="10"/>
      <c r="Z36" s="10"/>
      <c r="AA36" s="181"/>
      <c r="AB36" s="78"/>
      <c r="AC36" s="79"/>
      <c r="AD36" s="79"/>
      <c r="AE36" s="80"/>
      <c r="AG36" s="9"/>
      <c r="AH36" s="10"/>
      <c r="AI36" s="10"/>
      <c r="AJ36" s="44"/>
      <c r="AK36" s="4" t="s">
        <v>3</v>
      </c>
      <c r="AL36" s="35"/>
      <c r="AM36" s="10"/>
      <c r="AN36" s="10"/>
      <c r="AO36" s="10"/>
      <c r="AP36" s="181"/>
      <c r="AQ36" s="304"/>
      <c r="AR36" s="305"/>
      <c r="AS36" s="305"/>
      <c r="AT36" s="306"/>
      <c r="AU36" s="25"/>
      <c r="AV36" s="9"/>
      <c r="AW36" s="10"/>
      <c r="AX36" s="10"/>
      <c r="AY36" s="44"/>
      <c r="AZ36" s="4" t="s">
        <v>3</v>
      </c>
      <c r="BA36" s="35"/>
      <c r="BB36" s="10"/>
      <c r="BC36" s="10"/>
      <c r="BD36" s="10"/>
      <c r="BE36" s="181"/>
      <c r="BF36" s="304"/>
      <c r="BG36" s="305"/>
      <c r="BH36" s="305"/>
      <c r="BI36" s="306"/>
    </row>
    <row r="37" spans="3:61" ht="17" thickBot="1" x14ac:dyDescent="0.25">
      <c r="C37" s="100" t="str">
        <f>C25</f>
        <v>Optional: Unterarmstütz/Ab Roll</v>
      </c>
      <c r="D37" s="101">
        <v>2</v>
      </c>
      <c r="E37" s="101"/>
      <c r="F37" s="102"/>
      <c r="G37" s="3" t="s">
        <v>3</v>
      </c>
      <c r="H37" s="103"/>
      <c r="I37" s="101"/>
      <c r="J37" s="101"/>
      <c r="K37" s="101"/>
      <c r="L37" s="184"/>
      <c r="M37" s="334"/>
      <c r="N37" s="335"/>
      <c r="O37" s="335"/>
      <c r="P37" s="336"/>
      <c r="R37" s="11"/>
      <c r="S37" s="12"/>
      <c r="T37" s="12"/>
      <c r="U37" s="45"/>
      <c r="V37" s="6" t="s">
        <v>3</v>
      </c>
      <c r="W37" s="36"/>
      <c r="X37" s="12"/>
      <c r="Y37" s="12"/>
      <c r="Z37" s="12"/>
      <c r="AA37" s="182"/>
      <c r="AB37" s="321"/>
      <c r="AC37" s="322"/>
      <c r="AD37" s="322"/>
      <c r="AE37" s="323"/>
      <c r="AG37" s="11"/>
      <c r="AH37" s="12"/>
      <c r="AI37" s="12"/>
      <c r="AJ37" s="45"/>
      <c r="AK37" s="6" t="s">
        <v>3</v>
      </c>
      <c r="AL37" s="36"/>
      <c r="AM37" s="12"/>
      <c r="AN37" s="12"/>
      <c r="AO37" s="12"/>
      <c r="AP37" s="182"/>
      <c r="AQ37" s="321"/>
      <c r="AR37" s="322"/>
      <c r="AS37" s="322"/>
      <c r="AT37" s="323"/>
      <c r="AU37" s="25"/>
      <c r="AV37" s="11"/>
      <c r="AW37" s="12"/>
      <c r="AX37" s="12"/>
      <c r="AY37" s="45"/>
      <c r="AZ37" s="6" t="s">
        <v>3</v>
      </c>
      <c r="BA37" s="36"/>
      <c r="BB37" s="12"/>
      <c r="BC37" s="12"/>
      <c r="BD37" s="12"/>
      <c r="BE37" s="182"/>
      <c r="BF37" s="321"/>
      <c r="BG37" s="322"/>
      <c r="BH37" s="322"/>
      <c r="BI37" s="323"/>
    </row>
    <row r="38" spans="3:61" x14ac:dyDescent="0.2">
      <c r="F38"/>
      <c r="H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</row>
    <row r="39" spans="3:61" ht="16" thickBot="1" x14ac:dyDescent="0.25"/>
    <row r="40" spans="3:61" ht="25" thickBot="1" x14ac:dyDescent="0.25">
      <c r="C40" s="95" t="s">
        <v>11</v>
      </c>
      <c r="D40" s="1"/>
      <c r="E40" s="1"/>
      <c r="F40" s="43"/>
      <c r="G40" s="1"/>
      <c r="H40" s="46"/>
      <c r="I40" s="1"/>
      <c r="J40" s="1"/>
      <c r="K40" s="1"/>
      <c r="L40" s="1"/>
      <c r="M40" s="1"/>
      <c r="N40" s="1"/>
      <c r="O40" s="1"/>
      <c r="P40" s="1"/>
    </row>
    <row r="41" spans="3:61" ht="20" thickBot="1" x14ac:dyDescent="0.3">
      <c r="C41" s="142" t="s">
        <v>110</v>
      </c>
      <c r="D41" s="299" t="s">
        <v>128</v>
      </c>
      <c r="E41" s="299" t="s">
        <v>54</v>
      </c>
      <c r="F41" s="308" t="s">
        <v>27</v>
      </c>
      <c r="G41" s="308"/>
      <c r="H41" s="309"/>
      <c r="I41" s="299" t="s">
        <v>5</v>
      </c>
      <c r="J41" s="299" t="s">
        <v>129</v>
      </c>
      <c r="K41" s="299" t="s">
        <v>7</v>
      </c>
      <c r="L41" s="298" t="s">
        <v>63</v>
      </c>
      <c r="M41" s="310" t="s">
        <v>6</v>
      </c>
      <c r="N41" s="308"/>
      <c r="O41" s="308"/>
      <c r="P41" s="311"/>
      <c r="R41" s="142" t="s">
        <v>115</v>
      </c>
      <c r="S41" s="299" t="s">
        <v>128</v>
      </c>
      <c r="T41" s="299" t="s">
        <v>54</v>
      </c>
      <c r="U41" s="308" t="s">
        <v>27</v>
      </c>
      <c r="V41" s="308"/>
      <c r="W41" s="309"/>
      <c r="X41" s="299" t="s">
        <v>5</v>
      </c>
      <c r="Y41" s="299" t="s">
        <v>129</v>
      </c>
      <c r="Z41" s="299" t="s">
        <v>7</v>
      </c>
      <c r="AA41" s="298" t="s">
        <v>63</v>
      </c>
      <c r="AB41" s="310" t="s">
        <v>6</v>
      </c>
      <c r="AC41" s="308"/>
      <c r="AD41" s="308"/>
      <c r="AE41" s="311"/>
      <c r="AG41" s="142" t="s">
        <v>120</v>
      </c>
      <c r="AH41" s="299" t="s">
        <v>128</v>
      </c>
      <c r="AI41" s="299" t="s">
        <v>54</v>
      </c>
      <c r="AJ41" s="308" t="s">
        <v>27</v>
      </c>
      <c r="AK41" s="308"/>
      <c r="AL41" s="309"/>
      <c r="AM41" s="299" t="s">
        <v>5</v>
      </c>
      <c r="AN41" s="299" t="s">
        <v>129</v>
      </c>
      <c r="AO41" s="299" t="s">
        <v>7</v>
      </c>
      <c r="AP41" s="298" t="s">
        <v>63</v>
      </c>
      <c r="AQ41" s="310" t="s">
        <v>6</v>
      </c>
      <c r="AR41" s="308"/>
      <c r="AS41" s="308"/>
      <c r="AT41" s="311"/>
      <c r="AU41" s="26"/>
      <c r="AV41" s="142" t="s">
        <v>125</v>
      </c>
      <c r="AW41" s="299" t="s">
        <v>128</v>
      </c>
      <c r="AX41" s="299" t="s">
        <v>54</v>
      </c>
      <c r="AY41" s="308" t="s">
        <v>27</v>
      </c>
      <c r="AZ41" s="308"/>
      <c r="BA41" s="309"/>
      <c r="BB41" s="299" t="s">
        <v>5</v>
      </c>
      <c r="BC41" s="299" t="s">
        <v>129</v>
      </c>
      <c r="BD41" s="299" t="s">
        <v>7</v>
      </c>
      <c r="BE41" s="298" t="s">
        <v>63</v>
      </c>
      <c r="BF41" s="310" t="s">
        <v>6</v>
      </c>
      <c r="BG41" s="308"/>
      <c r="BH41" s="308"/>
      <c r="BI41" s="311"/>
    </row>
    <row r="42" spans="3:61" ht="16" x14ac:dyDescent="0.2">
      <c r="C42" s="118" t="s">
        <v>92</v>
      </c>
      <c r="D42" s="8">
        <v>1</v>
      </c>
      <c r="E42" s="8">
        <v>1</v>
      </c>
      <c r="F42" s="30">
        <f>(0.91*D10)-5</f>
        <v>-5</v>
      </c>
      <c r="G42" s="5" t="s">
        <v>3</v>
      </c>
      <c r="H42" s="31">
        <f>(0.91*D10)+5</f>
        <v>5</v>
      </c>
      <c r="I42" s="8">
        <v>8</v>
      </c>
      <c r="J42" s="119" t="s">
        <v>58</v>
      </c>
      <c r="K42" s="8"/>
      <c r="L42" s="180"/>
      <c r="M42" s="318"/>
      <c r="N42" s="319"/>
      <c r="O42" s="319"/>
      <c r="P42" s="320"/>
      <c r="R42" s="118" t="s">
        <v>94</v>
      </c>
      <c r="S42" s="8">
        <v>1</v>
      </c>
      <c r="T42" s="8">
        <v>1</v>
      </c>
      <c r="U42" s="30">
        <f>(0.93*H10)-5</f>
        <v>-5</v>
      </c>
      <c r="V42" s="5" t="s">
        <v>3</v>
      </c>
      <c r="W42" s="31">
        <f>(0.93*H10)+5</f>
        <v>5</v>
      </c>
      <c r="X42" s="8">
        <v>9</v>
      </c>
      <c r="Y42" s="119" t="s">
        <v>37</v>
      </c>
      <c r="Z42" s="8"/>
      <c r="AA42" s="180"/>
      <c r="AB42" s="318"/>
      <c r="AC42" s="319"/>
      <c r="AD42" s="319"/>
      <c r="AE42" s="320"/>
      <c r="AG42" s="118" t="s">
        <v>92</v>
      </c>
      <c r="AH42" s="8">
        <v>4</v>
      </c>
      <c r="AI42" s="8">
        <v>2</v>
      </c>
      <c r="AJ42" s="30">
        <f>(0.87*D10)-5</f>
        <v>-5</v>
      </c>
      <c r="AK42" s="5" t="s">
        <v>3</v>
      </c>
      <c r="AL42" s="31">
        <f>(0.87*D10)+5</f>
        <v>5</v>
      </c>
      <c r="AM42" s="8">
        <v>8</v>
      </c>
      <c r="AN42" s="119" t="s">
        <v>58</v>
      </c>
      <c r="AO42" s="8"/>
      <c r="AP42" s="180"/>
      <c r="AQ42" s="318"/>
      <c r="AR42" s="319"/>
      <c r="AS42" s="319"/>
      <c r="AT42" s="320"/>
      <c r="AU42" s="25"/>
      <c r="AV42" s="118" t="s">
        <v>93</v>
      </c>
      <c r="AW42" s="8">
        <v>3</v>
      </c>
      <c r="AX42" s="8">
        <v>2</v>
      </c>
      <c r="AY42" s="30">
        <f>(0.87*F10)-5</f>
        <v>-5</v>
      </c>
      <c r="AZ42" s="5" t="s">
        <v>3</v>
      </c>
      <c r="BA42" s="31">
        <f>(0.87*F10)+5</f>
        <v>5</v>
      </c>
      <c r="BB42" s="8">
        <v>8</v>
      </c>
      <c r="BC42" s="119" t="s">
        <v>57</v>
      </c>
      <c r="BD42" s="8"/>
      <c r="BE42" s="180"/>
      <c r="BF42" s="318"/>
      <c r="BG42" s="319"/>
      <c r="BH42" s="319"/>
      <c r="BI42" s="320"/>
    </row>
    <row r="43" spans="3:61" ht="16" x14ac:dyDescent="0.2">
      <c r="C43" s="118" t="s">
        <v>92</v>
      </c>
      <c r="D43" s="8">
        <v>3</v>
      </c>
      <c r="E43" s="8">
        <v>4</v>
      </c>
      <c r="F43" s="30">
        <f>(0.82*D10)-5</f>
        <v>-5</v>
      </c>
      <c r="G43" s="5" t="s">
        <v>3</v>
      </c>
      <c r="H43" s="31">
        <f>(0.82*D10)+5</f>
        <v>5</v>
      </c>
      <c r="I43" s="8">
        <v>8</v>
      </c>
      <c r="J43" s="119" t="s">
        <v>58</v>
      </c>
      <c r="K43" s="8"/>
      <c r="L43" s="180"/>
      <c r="M43" s="312"/>
      <c r="N43" s="313"/>
      <c r="O43" s="313"/>
      <c r="P43" s="314"/>
      <c r="R43" s="118" t="s">
        <v>94</v>
      </c>
      <c r="S43" s="8">
        <v>3</v>
      </c>
      <c r="T43" s="8">
        <v>2</v>
      </c>
      <c r="U43" s="30">
        <f>(0.87*H10)-5</f>
        <v>-5</v>
      </c>
      <c r="V43" s="5" t="s">
        <v>3</v>
      </c>
      <c r="W43" s="31">
        <f>(0.87*H10)+5</f>
        <v>5</v>
      </c>
      <c r="X43" s="8">
        <v>8</v>
      </c>
      <c r="Y43" s="119" t="s">
        <v>37</v>
      </c>
      <c r="Z43" s="8"/>
      <c r="AA43" s="180"/>
      <c r="AB43" s="312"/>
      <c r="AC43" s="313"/>
      <c r="AD43" s="313"/>
      <c r="AE43" s="314"/>
      <c r="AG43" s="7"/>
      <c r="AH43" s="8"/>
      <c r="AI43" s="8"/>
      <c r="AJ43" s="30"/>
      <c r="AK43" s="5" t="s">
        <v>3</v>
      </c>
      <c r="AL43" s="31"/>
      <c r="AM43" s="8"/>
      <c r="AN43" s="119"/>
      <c r="AO43" s="8"/>
      <c r="AP43" s="180"/>
      <c r="AQ43" s="312"/>
      <c r="AR43" s="313"/>
      <c r="AS43" s="313"/>
      <c r="AT43" s="314"/>
      <c r="AU43" s="25"/>
      <c r="AV43" s="118"/>
      <c r="AW43" s="8"/>
      <c r="AX43" s="8"/>
      <c r="AY43" s="30"/>
      <c r="AZ43" s="5" t="s">
        <v>3</v>
      </c>
      <c r="BA43" s="31"/>
      <c r="BB43" s="8"/>
      <c r="BC43" s="119"/>
      <c r="BD43" s="8"/>
      <c r="BE43" s="180"/>
      <c r="BF43" s="312"/>
      <c r="BG43" s="313"/>
      <c r="BH43" s="313"/>
      <c r="BI43" s="314"/>
    </row>
    <row r="44" spans="3:61" ht="16" x14ac:dyDescent="0.2">
      <c r="C44" s="120" t="s">
        <v>93</v>
      </c>
      <c r="D44" s="10">
        <v>1</v>
      </c>
      <c r="E44" s="10">
        <v>1</v>
      </c>
      <c r="F44" s="34">
        <f>(0.91*F10)-5</f>
        <v>-5</v>
      </c>
      <c r="G44" s="4" t="s">
        <v>3</v>
      </c>
      <c r="H44" s="35">
        <f>(0.91*F10)+5</f>
        <v>5</v>
      </c>
      <c r="I44" s="10">
        <v>8</v>
      </c>
      <c r="J44" s="121" t="s">
        <v>57</v>
      </c>
      <c r="K44" s="10"/>
      <c r="L44" s="181"/>
      <c r="M44" s="304"/>
      <c r="N44" s="305"/>
      <c r="O44" s="305"/>
      <c r="P44" s="306"/>
      <c r="R44" s="9" t="str">
        <f>R20</f>
        <v>3ct. WK-Bankdrücken</v>
      </c>
      <c r="S44" s="10">
        <v>3</v>
      </c>
      <c r="T44" s="10">
        <v>2</v>
      </c>
      <c r="U44" s="44">
        <f>(0.83*F11)-5</f>
        <v>-5</v>
      </c>
      <c r="V44" s="4" t="s">
        <v>3</v>
      </c>
      <c r="W44" s="35">
        <f>(0.83*F11)+5</f>
        <v>5</v>
      </c>
      <c r="X44" s="10">
        <v>7</v>
      </c>
      <c r="Y44" s="121" t="s">
        <v>57</v>
      </c>
      <c r="Z44" s="10"/>
      <c r="AA44" s="181"/>
      <c r="AB44" s="304"/>
      <c r="AC44" s="305"/>
      <c r="AD44" s="305"/>
      <c r="AE44" s="306"/>
      <c r="AG44" s="9" t="str">
        <f>AG20</f>
        <v>Kreuzheben - Variation</v>
      </c>
      <c r="AH44" s="10">
        <v>3</v>
      </c>
      <c r="AI44" s="10">
        <v>4</v>
      </c>
      <c r="AJ44" s="44">
        <f>IF(AG20="1ct. WK-Kreuzheben",((0.8*H12)-5),((0.8*H11)-5))</f>
        <v>-5</v>
      </c>
      <c r="AK44" s="4" t="s">
        <v>3</v>
      </c>
      <c r="AL44" s="35">
        <f>IF(AG20="1ct. WK-Kreuzheben",((0.8*H12)+5),((0.8*H11)+5))</f>
        <v>5</v>
      </c>
      <c r="AM44" s="10">
        <v>8</v>
      </c>
      <c r="AN44" s="121" t="s">
        <v>37</v>
      </c>
      <c r="AO44" s="10"/>
      <c r="AP44" s="181"/>
      <c r="AQ44" s="304"/>
      <c r="AR44" s="305"/>
      <c r="AS44" s="305"/>
      <c r="AT44" s="306"/>
      <c r="AU44" s="25"/>
      <c r="AV44" s="120" t="s">
        <v>99</v>
      </c>
      <c r="AW44" s="10">
        <v>2</v>
      </c>
      <c r="AX44" s="10">
        <v>5</v>
      </c>
      <c r="AY44" s="44">
        <f>(0.76*F13)-5</f>
        <v>-5</v>
      </c>
      <c r="AZ44" s="4" t="s">
        <v>3</v>
      </c>
      <c r="BA44" s="35">
        <f>(0.76*F13)+5</f>
        <v>5</v>
      </c>
      <c r="BB44" s="10">
        <v>7</v>
      </c>
      <c r="BC44" s="121" t="s">
        <v>57</v>
      </c>
      <c r="BD44" s="10"/>
      <c r="BE44" s="181"/>
      <c r="BF44" s="304"/>
      <c r="BG44" s="305"/>
      <c r="BH44" s="305"/>
      <c r="BI44" s="306"/>
    </row>
    <row r="45" spans="3:61" ht="16" x14ac:dyDescent="0.2">
      <c r="C45" s="120" t="s">
        <v>93</v>
      </c>
      <c r="D45" s="10">
        <v>3</v>
      </c>
      <c r="E45" s="10">
        <v>4</v>
      </c>
      <c r="F45" s="34">
        <f>(0.8*F10)-5</f>
        <v>-5</v>
      </c>
      <c r="G45" s="4" t="s">
        <v>3</v>
      </c>
      <c r="H45" s="35">
        <f>(0.8*F10)+5</f>
        <v>5</v>
      </c>
      <c r="I45" s="10">
        <v>8</v>
      </c>
      <c r="J45" s="121" t="s">
        <v>57</v>
      </c>
      <c r="K45" s="10"/>
      <c r="L45" s="181"/>
      <c r="M45" s="304"/>
      <c r="N45" s="305"/>
      <c r="O45" s="305"/>
      <c r="P45" s="306"/>
      <c r="R45" s="72" t="str">
        <f>R21</f>
        <v>Kniebeuge - Variation</v>
      </c>
      <c r="S45" s="67">
        <v>3</v>
      </c>
      <c r="T45" s="67">
        <v>2</v>
      </c>
      <c r="U45" s="68">
        <f>IF(R21="2ct. WK-Kniebeuge",(D11*0.83)-5,(D12*0.83)-5)</f>
        <v>-5</v>
      </c>
      <c r="V45" s="69" t="s">
        <v>3</v>
      </c>
      <c r="W45" s="70">
        <f>IF(R21="2ct. WK-Kniebeuge",(D11*0.83)+5,(D12*0.83)+5)</f>
        <v>5</v>
      </c>
      <c r="X45" s="67">
        <v>7</v>
      </c>
      <c r="Y45" s="67" t="s">
        <v>58</v>
      </c>
      <c r="Z45" s="67"/>
      <c r="AA45" s="186"/>
      <c r="AB45" s="364"/>
      <c r="AC45" s="365"/>
      <c r="AD45" s="365"/>
      <c r="AE45" s="366"/>
      <c r="AG45" s="7" t="str">
        <f>AG21</f>
        <v>Rudern</v>
      </c>
      <c r="AH45" s="8">
        <v>3</v>
      </c>
      <c r="AI45" s="28" t="s">
        <v>33</v>
      </c>
      <c r="AJ45" s="30"/>
      <c r="AK45" s="5" t="s">
        <v>3</v>
      </c>
      <c r="AL45" s="31"/>
      <c r="AM45" s="32" t="s">
        <v>32</v>
      </c>
      <c r="AN45" s="8"/>
      <c r="AO45" s="8"/>
      <c r="AP45" s="180"/>
      <c r="AQ45" s="312"/>
      <c r="AR45" s="313"/>
      <c r="AS45" s="313"/>
      <c r="AT45" s="314"/>
      <c r="AU45" s="25"/>
      <c r="AV45" s="7" t="str">
        <f>AV21</f>
        <v>Latzug</v>
      </c>
      <c r="AW45" s="8">
        <v>3</v>
      </c>
      <c r="AX45" s="32" t="s">
        <v>33</v>
      </c>
      <c r="AY45" s="33"/>
      <c r="AZ45" s="5" t="s">
        <v>3</v>
      </c>
      <c r="BA45" s="31"/>
      <c r="BB45" s="32" t="s">
        <v>32</v>
      </c>
      <c r="BC45" s="8"/>
      <c r="BD45" s="8"/>
      <c r="BE45" s="180"/>
      <c r="BF45" s="312"/>
      <c r="BG45" s="313"/>
      <c r="BH45" s="313"/>
      <c r="BI45" s="314"/>
    </row>
    <row r="46" spans="3:61" ht="16" x14ac:dyDescent="0.2">
      <c r="C46" s="7" t="str">
        <f>C22</f>
        <v>Unterkörperübung, unilateral</v>
      </c>
      <c r="D46" s="8">
        <v>2</v>
      </c>
      <c r="E46" s="8">
        <v>6</v>
      </c>
      <c r="F46" s="30"/>
      <c r="G46" s="5" t="s">
        <v>3</v>
      </c>
      <c r="H46" s="31"/>
      <c r="I46" s="32" t="s">
        <v>32</v>
      </c>
      <c r="J46" s="8"/>
      <c r="K46" s="8"/>
      <c r="L46" s="180"/>
      <c r="M46" s="312"/>
      <c r="N46" s="313"/>
      <c r="O46" s="313"/>
      <c r="P46" s="314"/>
      <c r="R46" s="9" t="str">
        <f>R22</f>
        <v>Oberkörper Drückbewegung</v>
      </c>
      <c r="S46" s="10">
        <v>2</v>
      </c>
      <c r="T46" s="10" t="str">
        <f>IF(OR(R46="Dips",R46="Military Press"),"5","6-8")</f>
        <v>6-8</v>
      </c>
      <c r="U46" s="44"/>
      <c r="V46" s="4" t="s">
        <v>3</v>
      </c>
      <c r="W46" s="35"/>
      <c r="X46" s="29" t="s">
        <v>32</v>
      </c>
      <c r="Y46" s="10"/>
      <c r="Z46" s="10"/>
      <c r="AA46" s="181"/>
      <c r="AB46" s="304"/>
      <c r="AC46" s="305"/>
      <c r="AD46" s="305"/>
      <c r="AE46" s="306"/>
      <c r="AG46" s="9" t="s">
        <v>24</v>
      </c>
      <c r="AH46" s="10">
        <v>3</v>
      </c>
      <c r="AI46" s="10">
        <v>6</v>
      </c>
      <c r="AJ46" s="44"/>
      <c r="AK46" s="4" t="s">
        <v>3</v>
      </c>
      <c r="AL46" s="35"/>
      <c r="AM46" s="29" t="s">
        <v>32</v>
      </c>
      <c r="AN46" s="10"/>
      <c r="AO46" s="10"/>
      <c r="AP46" s="181"/>
      <c r="AQ46" s="304"/>
      <c r="AR46" s="305"/>
      <c r="AS46" s="305"/>
      <c r="AT46" s="306"/>
      <c r="AU46" s="25"/>
      <c r="AV46" s="9" t="str">
        <f>AV22</f>
        <v>Hintere Schulter</v>
      </c>
      <c r="AW46" s="10">
        <v>3</v>
      </c>
      <c r="AX46" s="29" t="s">
        <v>38</v>
      </c>
      <c r="AY46" s="44"/>
      <c r="AZ46" s="4" t="s">
        <v>3</v>
      </c>
      <c r="BA46" s="35"/>
      <c r="BB46" s="29" t="s">
        <v>32</v>
      </c>
      <c r="BC46" s="10"/>
      <c r="BD46" s="10"/>
      <c r="BE46" s="181"/>
      <c r="BF46" s="304"/>
      <c r="BG46" s="305"/>
      <c r="BH46" s="305"/>
      <c r="BI46" s="306"/>
    </row>
    <row r="47" spans="3:61" ht="16" x14ac:dyDescent="0.2">
      <c r="C47" s="9" t="str">
        <f>C23</f>
        <v>Oberkörper Drückbewegung</v>
      </c>
      <c r="D47" s="10">
        <v>3</v>
      </c>
      <c r="E47" s="10">
        <f>IF(OR(C23="Dips",C23="LH Schulterdrücken"),4,6)</f>
        <v>6</v>
      </c>
      <c r="F47" s="34"/>
      <c r="G47" s="4" t="s">
        <v>3</v>
      </c>
      <c r="H47" s="35"/>
      <c r="I47" s="10">
        <v>8</v>
      </c>
      <c r="J47" s="10"/>
      <c r="K47" s="10"/>
      <c r="L47" s="181"/>
      <c r="M47" s="304"/>
      <c r="N47" s="305"/>
      <c r="O47" s="305"/>
      <c r="P47" s="306"/>
      <c r="R47" s="7"/>
      <c r="S47" s="32"/>
      <c r="T47" s="8"/>
      <c r="U47" s="30"/>
      <c r="V47" s="5" t="s">
        <v>3</v>
      </c>
      <c r="W47" s="31"/>
      <c r="X47" s="32"/>
      <c r="Y47" s="8"/>
      <c r="Z47" s="8"/>
      <c r="AA47" s="180"/>
      <c r="AB47" s="312"/>
      <c r="AC47" s="313"/>
      <c r="AD47" s="313"/>
      <c r="AE47" s="314"/>
      <c r="AG47" s="118" t="s">
        <v>96</v>
      </c>
      <c r="AH47" s="8">
        <v>2</v>
      </c>
      <c r="AI47" s="8"/>
      <c r="AJ47" s="30"/>
      <c r="AK47" s="5" t="s">
        <v>3</v>
      </c>
      <c r="AL47" s="31"/>
      <c r="AM47" s="8"/>
      <c r="AN47" s="8"/>
      <c r="AO47" s="8"/>
      <c r="AP47" s="180"/>
      <c r="AQ47" s="312"/>
      <c r="AR47" s="313"/>
      <c r="AS47" s="313"/>
      <c r="AT47" s="314"/>
      <c r="AU47" s="25"/>
      <c r="AV47" s="112"/>
      <c r="AW47" s="113"/>
      <c r="AX47" s="113"/>
      <c r="AY47" s="111"/>
      <c r="AZ47" s="56"/>
      <c r="BA47" s="114"/>
      <c r="BB47" s="113"/>
      <c r="BC47" s="113"/>
      <c r="BD47" s="113"/>
      <c r="BE47" s="56"/>
      <c r="BF47" s="312"/>
      <c r="BG47" s="313"/>
      <c r="BH47" s="313"/>
      <c r="BI47" s="314"/>
    </row>
    <row r="48" spans="3:61" ht="16" x14ac:dyDescent="0.2">
      <c r="C48" s="118" t="str">
        <f>C24</f>
        <v>Rudern</v>
      </c>
      <c r="D48" s="8">
        <v>3</v>
      </c>
      <c r="E48" s="279" t="str">
        <f>IF(OR(C48="Pendlay Rudern"),"4","6-8")</f>
        <v>6-8</v>
      </c>
      <c r="F48" s="30"/>
      <c r="G48" s="5" t="s">
        <v>3</v>
      </c>
      <c r="H48" s="31"/>
      <c r="I48" s="8">
        <v>8</v>
      </c>
      <c r="J48" s="8"/>
      <c r="K48" s="8"/>
      <c r="L48" s="180"/>
      <c r="M48" s="312"/>
      <c r="N48" s="313"/>
      <c r="O48" s="313"/>
      <c r="P48" s="314"/>
      <c r="R48" s="9"/>
      <c r="S48" s="10"/>
      <c r="T48" s="10"/>
      <c r="U48" s="44"/>
      <c r="V48" s="4" t="s">
        <v>3</v>
      </c>
      <c r="W48" s="35"/>
      <c r="X48" s="10"/>
      <c r="Y48" s="10"/>
      <c r="Z48" s="10"/>
      <c r="AA48" s="181"/>
      <c r="AB48" s="304"/>
      <c r="AC48" s="305"/>
      <c r="AD48" s="305"/>
      <c r="AE48" s="306"/>
      <c r="AG48" s="9"/>
      <c r="AH48" s="10"/>
      <c r="AI48" s="10"/>
      <c r="AJ48" s="44"/>
      <c r="AK48" s="4" t="s">
        <v>3</v>
      </c>
      <c r="AL48" s="35"/>
      <c r="AM48" s="10"/>
      <c r="AN48" s="10"/>
      <c r="AO48" s="10"/>
      <c r="AP48" s="181"/>
      <c r="AQ48" s="304"/>
      <c r="AR48" s="305"/>
      <c r="AS48" s="305"/>
      <c r="AT48" s="306"/>
      <c r="AU48" s="25"/>
      <c r="AV48" s="9"/>
      <c r="AW48" s="10"/>
      <c r="AX48" s="10"/>
      <c r="AY48" s="44"/>
      <c r="AZ48" s="4" t="s">
        <v>3</v>
      </c>
      <c r="BA48" s="35"/>
      <c r="BB48" s="10"/>
      <c r="BC48" s="10"/>
      <c r="BD48" s="10"/>
      <c r="BE48" s="181"/>
      <c r="BF48" s="304"/>
      <c r="BG48" s="305"/>
      <c r="BH48" s="305"/>
      <c r="BI48" s="306"/>
    </row>
    <row r="49" spans="3:61" ht="17" thickBot="1" x14ac:dyDescent="0.25">
      <c r="C49" s="100" t="str">
        <f>C25</f>
        <v>Optional: Unterarmstütz/Ab Roll</v>
      </c>
      <c r="D49" s="101">
        <v>2</v>
      </c>
      <c r="E49" s="101"/>
      <c r="F49" s="102"/>
      <c r="G49" s="3" t="s">
        <v>3</v>
      </c>
      <c r="H49" s="103"/>
      <c r="I49" s="101"/>
      <c r="J49" s="101"/>
      <c r="K49" s="101"/>
      <c r="L49" s="184"/>
      <c r="M49" s="334"/>
      <c r="N49" s="335"/>
      <c r="O49" s="335"/>
      <c r="P49" s="336"/>
      <c r="R49" s="11"/>
      <c r="S49" s="12"/>
      <c r="T49" s="12"/>
      <c r="U49" s="45"/>
      <c r="V49" s="6" t="s">
        <v>3</v>
      </c>
      <c r="W49" s="36"/>
      <c r="X49" s="12"/>
      <c r="Y49" s="12"/>
      <c r="Z49" s="12"/>
      <c r="AA49" s="182"/>
      <c r="AB49" s="321"/>
      <c r="AC49" s="322"/>
      <c r="AD49" s="322"/>
      <c r="AE49" s="323"/>
      <c r="AG49" s="11"/>
      <c r="AH49" s="12"/>
      <c r="AI49" s="12"/>
      <c r="AJ49" s="45"/>
      <c r="AK49" s="6" t="s">
        <v>3</v>
      </c>
      <c r="AL49" s="36"/>
      <c r="AM49" s="12"/>
      <c r="AN49" s="12"/>
      <c r="AO49" s="12"/>
      <c r="AP49" s="182"/>
      <c r="AQ49" s="321"/>
      <c r="AR49" s="322"/>
      <c r="AS49" s="322"/>
      <c r="AT49" s="323"/>
      <c r="AU49" s="25"/>
      <c r="AV49" s="11"/>
      <c r="AW49" s="12"/>
      <c r="AX49" s="12"/>
      <c r="AY49" s="45"/>
      <c r="AZ49" s="6" t="s">
        <v>3</v>
      </c>
      <c r="BA49" s="36"/>
      <c r="BB49" s="12"/>
      <c r="BC49" s="12"/>
      <c r="BD49" s="12"/>
      <c r="BE49" s="182"/>
      <c r="BF49" s="321"/>
      <c r="BG49" s="322"/>
      <c r="BH49" s="322"/>
      <c r="BI49" s="323"/>
    </row>
    <row r="50" spans="3:61" x14ac:dyDescent="0.2">
      <c r="F50"/>
      <c r="H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</row>
    <row r="51" spans="3:61" ht="16" thickBot="1" x14ac:dyDescent="0.25"/>
    <row r="52" spans="3:61" ht="25" thickBot="1" x14ac:dyDescent="0.25">
      <c r="C52" s="95" t="s">
        <v>10</v>
      </c>
      <c r="D52" s="1"/>
      <c r="E52" s="1"/>
      <c r="F52" s="43"/>
      <c r="G52" s="1"/>
      <c r="H52" s="46"/>
      <c r="I52" s="51"/>
      <c r="J52" s="51"/>
      <c r="K52" s="1"/>
      <c r="L52" s="1"/>
      <c r="M52" s="1"/>
      <c r="N52" s="1"/>
      <c r="O52" s="1"/>
      <c r="P52" s="1"/>
      <c r="X52" s="51"/>
      <c r="Y52" s="51"/>
      <c r="BB52" s="51"/>
      <c r="BC52" s="51"/>
    </row>
    <row r="53" spans="3:61" ht="20" thickBot="1" x14ac:dyDescent="0.3">
      <c r="C53" s="142" t="s">
        <v>111</v>
      </c>
      <c r="D53" s="299" t="s">
        <v>128</v>
      </c>
      <c r="E53" s="299" t="s">
        <v>54</v>
      </c>
      <c r="F53" s="308" t="s">
        <v>27</v>
      </c>
      <c r="G53" s="308"/>
      <c r="H53" s="309"/>
      <c r="I53" s="299" t="s">
        <v>5</v>
      </c>
      <c r="J53" s="299" t="s">
        <v>129</v>
      </c>
      <c r="K53" s="299" t="s">
        <v>7</v>
      </c>
      <c r="L53" s="298" t="s">
        <v>63</v>
      </c>
      <c r="M53" s="310" t="s">
        <v>6</v>
      </c>
      <c r="N53" s="308"/>
      <c r="O53" s="308"/>
      <c r="P53" s="311"/>
      <c r="R53" s="142" t="s">
        <v>116</v>
      </c>
      <c r="S53" s="299" t="s">
        <v>128</v>
      </c>
      <c r="T53" s="299" t="s">
        <v>54</v>
      </c>
      <c r="U53" s="308" t="s">
        <v>27</v>
      </c>
      <c r="V53" s="308"/>
      <c r="W53" s="309"/>
      <c r="X53" s="299" t="s">
        <v>5</v>
      </c>
      <c r="Y53" s="299" t="s">
        <v>129</v>
      </c>
      <c r="Z53" s="299" t="s">
        <v>7</v>
      </c>
      <c r="AA53" s="298" t="s">
        <v>63</v>
      </c>
      <c r="AB53" s="310" t="s">
        <v>6</v>
      </c>
      <c r="AC53" s="308"/>
      <c r="AD53" s="308"/>
      <c r="AE53" s="311"/>
      <c r="AG53" s="142" t="s">
        <v>121</v>
      </c>
      <c r="AH53" s="299" t="s">
        <v>128</v>
      </c>
      <c r="AI53" s="299" t="s">
        <v>54</v>
      </c>
      <c r="AJ53" s="308" t="s">
        <v>27</v>
      </c>
      <c r="AK53" s="308"/>
      <c r="AL53" s="309"/>
      <c r="AM53" s="299" t="s">
        <v>5</v>
      </c>
      <c r="AN53" s="299" t="s">
        <v>129</v>
      </c>
      <c r="AO53" s="299" t="s">
        <v>7</v>
      </c>
      <c r="AP53" s="298" t="s">
        <v>63</v>
      </c>
      <c r="AQ53" s="310" t="s">
        <v>6</v>
      </c>
      <c r="AR53" s="308"/>
      <c r="AS53" s="308"/>
      <c r="AT53" s="311"/>
      <c r="AU53" s="26"/>
      <c r="AV53" s="142" t="s">
        <v>126</v>
      </c>
      <c r="AW53" s="299" t="s">
        <v>128</v>
      </c>
      <c r="AX53" s="299" t="s">
        <v>54</v>
      </c>
      <c r="AY53" s="308" t="s">
        <v>27</v>
      </c>
      <c r="AZ53" s="308"/>
      <c r="BA53" s="309"/>
      <c r="BB53" s="299" t="s">
        <v>5</v>
      </c>
      <c r="BC53" s="299" t="s">
        <v>129</v>
      </c>
      <c r="BD53" s="299" t="s">
        <v>7</v>
      </c>
      <c r="BE53" s="298" t="s">
        <v>63</v>
      </c>
      <c r="BF53" s="310" t="s">
        <v>6</v>
      </c>
      <c r="BG53" s="308"/>
      <c r="BH53" s="308"/>
      <c r="BI53" s="311"/>
    </row>
    <row r="54" spans="3:61" ht="16" x14ac:dyDescent="0.2">
      <c r="C54" s="118" t="s">
        <v>92</v>
      </c>
      <c r="D54" s="8">
        <v>1</v>
      </c>
      <c r="E54" s="8">
        <v>1</v>
      </c>
      <c r="F54" s="30">
        <f>(0.95*D10)-5</f>
        <v>-5</v>
      </c>
      <c r="G54" s="5" t="s">
        <v>3</v>
      </c>
      <c r="H54" s="31">
        <f>(0.95*D10)+5</f>
        <v>5</v>
      </c>
      <c r="I54" s="8">
        <v>9</v>
      </c>
      <c r="J54" s="119" t="s">
        <v>58</v>
      </c>
      <c r="K54" s="8"/>
      <c r="L54" s="180"/>
      <c r="M54" s="318"/>
      <c r="N54" s="319"/>
      <c r="O54" s="319"/>
      <c r="P54" s="320"/>
      <c r="R54" s="118" t="s">
        <v>94</v>
      </c>
      <c r="S54" s="8">
        <v>1</v>
      </c>
      <c r="T54" s="8">
        <v>1</v>
      </c>
      <c r="U54" s="30">
        <f>(0.88*H10)-5</f>
        <v>-5</v>
      </c>
      <c r="V54" s="5" t="s">
        <v>3</v>
      </c>
      <c r="W54" s="31">
        <f>(0.88*H10)+5</f>
        <v>5</v>
      </c>
      <c r="X54" s="32" t="s">
        <v>28</v>
      </c>
      <c r="Y54" s="119" t="s">
        <v>37</v>
      </c>
      <c r="Z54" s="8"/>
      <c r="AA54" s="180"/>
      <c r="AB54" s="318"/>
      <c r="AC54" s="319"/>
      <c r="AD54" s="319"/>
      <c r="AE54" s="320"/>
      <c r="AG54" s="118" t="s">
        <v>92</v>
      </c>
      <c r="AH54" s="8">
        <v>3</v>
      </c>
      <c r="AI54" s="8">
        <v>2</v>
      </c>
      <c r="AJ54" s="30">
        <f>(0.89*D10)-5</f>
        <v>-5</v>
      </c>
      <c r="AK54" s="5" t="s">
        <v>3</v>
      </c>
      <c r="AL54" s="31">
        <f>(0.89*D10)+5</f>
        <v>5</v>
      </c>
      <c r="AM54" s="32" t="s">
        <v>32</v>
      </c>
      <c r="AN54" s="119" t="s">
        <v>58</v>
      </c>
      <c r="AO54" s="8"/>
      <c r="AP54" s="180"/>
      <c r="AQ54" s="318"/>
      <c r="AR54" s="319"/>
      <c r="AS54" s="319"/>
      <c r="AT54" s="320"/>
      <c r="AU54" s="25"/>
      <c r="AV54" s="118" t="s">
        <v>93</v>
      </c>
      <c r="AW54" s="8">
        <v>3</v>
      </c>
      <c r="AX54" s="8">
        <v>2</v>
      </c>
      <c r="AY54" s="30">
        <f>(0.89*F10)-5</f>
        <v>-5</v>
      </c>
      <c r="AZ54" s="5" t="s">
        <v>3</v>
      </c>
      <c r="BA54" s="31">
        <f>(0.89*F10)+5</f>
        <v>5</v>
      </c>
      <c r="BB54" s="32" t="s">
        <v>32</v>
      </c>
      <c r="BC54" s="119" t="s">
        <v>57</v>
      </c>
      <c r="BD54" s="8"/>
      <c r="BE54" s="180"/>
      <c r="BF54" s="318"/>
      <c r="BG54" s="319"/>
      <c r="BH54" s="319"/>
      <c r="BI54" s="320"/>
    </row>
    <row r="55" spans="3:61" ht="16" x14ac:dyDescent="0.2">
      <c r="C55" s="118" t="s">
        <v>92</v>
      </c>
      <c r="D55" s="8">
        <v>3</v>
      </c>
      <c r="E55" s="8">
        <v>3</v>
      </c>
      <c r="F55" s="30">
        <f>(0.85*D10)-5</f>
        <v>-5</v>
      </c>
      <c r="G55" s="5" t="s">
        <v>3</v>
      </c>
      <c r="H55" s="31">
        <f>(0.85*D10)+5</f>
        <v>5</v>
      </c>
      <c r="I55" s="32">
        <v>8</v>
      </c>
      <c r="J55" s="119" t="s">
        <v>58</v>
      </c>
      <c r="K55" s="8"/>
      <c r="L55" s="180"/>
      <c r="M55" s="312"/>
      <c r="N55" s="313"/>
      <c r="O55" s="313"/>
      <c r="P55" s="314"/>
      <c r="R55" s="118" t="s">
        <v>94</v>
      </c>
      <c r="S55" s="8">
        <v>3</v>
      </c>
      <c r="T55" s="8">
        <v>2</v>
      </c>
      <c r="U55" s="30">
        <f>(0.87*H10)-5</f>
        <v>-5</v>
      </c>
      <c r="V55" s="5" t="s">
        <v>3</v>
      </c>
      <c r="W55" s="31">
        <f>(0.87*H10)+5</f>
        <v>5</v>
      </c>
      <c r="X55" s="32">
        <v>8</v>
      </c>
      <c r="Y55" s="119" t="s">
        <v>37</v>
      </c>
      <c r="Z55" s="8"/>
      <c r="AA55" s="180"/>
      <c r="AB55" s="312"/>
      <c r="AC55" s="313"/>
      <c r="AD55" s="313"/>
      <c r="AE55" s="314"/>
      <c r="AG55" s="7"/>
      <c r="AH55" s="8"/>
      <c r="AI55" s="8"/>
      <c r="AJ55" s="30"/>
      <c r="AK55" s="5" t="s">
        <v>3</v>
      </c>
      <c r="AL55" s="31"/>
      <c r="AM55" s="8"/>
      <c r="AN55" s="119"/>
      <c r="AO55" s="8"/>
      <c r="AP55" s="180"/>
      <c r="AQ55" s="312"/>
      <c r="AR55" s="313"/>
      <c r="AS55" s="313"/>
      <c r="AT55" s="314"/>
      <c r="AV55" s="118"/>
      <c r="AW55" s="8"/>
      <c r="AX55" s="8"/>
      <c r="AY55" s="30"/>
      <c r="AZ55" s="5" t="s">
        <v>3</v>
      </c>
      <c r="BA55" s="31"/>
      <c r="BB55" s="32"/>
      <c r="BC55" s="119"/>
      <c r="BD55" s="57"/>
      <c r="BE55" s="185"/>
      <c r="BF55" s="312"/>
      <c r="BG55" s="313"/>
      <c r="BH55" s="313"/>
      <c r="BI55" s="314"/>
    </row>
    <row r="56" spans="3:61" ht="16" x14ac:dyDescent="0.2">
      <c r="C56" s="120" t="s">
        <v>93</v>
      </c>
      <c r="D56" s="10">
        <v>1</v>
      </c>
      <c r="E56" s="10">
        <v>1</v>
      </c>
      <c r="F56" s="44">
        <f>(0.95*F10)-5</f>
        <v>-5</v>
      </c>
      <c r="G56" s="4" t="s">
        <v>3</v>
      </c>
      <c r="H56" s="35">
        <f>(0.95*F10)+5</f>
        <v>5</v>
      </c>
      <c r="I56" s="10">
        <v>9</v>
      </c>
      <c r="J56" s="121" t="s">
        <v>57</v>
      </c>
      <c r="K56" s="10"/>
      <c r="L56" s="181"/>
      <c r="M56" s="304"/>
      <c r="N56" s="305"/>
      <c r="O56" s="305"/>
      <c r="P56" s="306"/>
      <c r="R56" s="9" t="str">
        <f>R20</f>
        <v>3ct. WK-Bankdrücken</v>
      </c>
      <c r="S56" s="10">
        <v>3</v>
      </c>
      <c r="T56" s="10">
        <v>2</v>
      </c>
      <c r="U56" s="44">
        <f>(0.83*F11)-5</f>
        <v>-5</v>
      </c>
      <c r="V56" s="4" t="s">
        <v>3</v>
      </c>
      <c r="W56" s="35">
        <f>(0.83*F11)+5</f>
        <v>5</v>
      </c>
      <c r="X56" s="10">
        <v>7</v>
      </c>
      <c r="Y56" s="121" t="s">
        <v>57</v>
      </c>
      <c r="Z56" s="10"/>
      <c r="AA56" s="181"/>
      <c r="AB56" s="304"/>
      <c r="AC56" s="305"/>
      <c r="AD56" s="305"/>
      <c r="AE56" s="306"/>
      <c r="AG56" s="9" t="str">
        <f>AG20</f>
        <v>Kreuzheben - Variation</v>
      </c>
      <c r="AH56" s="10">
        <v>3</v>
      </c>
      <c r="AI56" s="10">
        <v>3</v>
      </c>
      <c r="AJ56" s="44">
        <f>IF(AG20="1ct. WK-Kreuzheben",((0.82*H12)-5),((0.82*H11)-5))</f>
        <v>-5</v>
      </c>
      <c r="AK56" s="4" t="s">
        <v>3</v>
      </c>
      <c r="AL56" s="35">
        <f>IF(AG20="1ct. WK-Kreuzheben",((0.82*H12)+5),((0.82*H11)+5))</f>
        <v>5</v>
      </c>
      <c r="AM56" s="10">
        <v>8</v>
      </c>
      <c r="AN56" s="121" t="s">
        <v>37</v>
      </c>
      <c r="AO56" s="10"/>
      <c r="AP56" s="181"/>
      <c r="AQ56" s="304"/>
      <c r="AR56" s="305"/>
      <c r="AS56" s="305"/>
      <c r="AT56" s="306"/>
      <c r="AU56" s="25"/>
      <c r="AV56" s="120" t="s">
        <v>99</v>
      </c>
      <c r="AW56" s="10">
        <v>2</v>
      </c>
      <c r="AX56" s="10">
        <v>5</v>
      </c>
      <c r="AY56" s="44">
        <f>(0.78*F13)-5</f>
        <v>-5</v>
      </c>
      <c r="AZ56" s="4" t="s">
        <v>3</v>
      </c>
      <c r="BA56" s="35">
        <f>(0.78*F13)+5</f>
        <v>5</v>
      </c>
      <c r="BB56" s="10">
        <v>8</v>
      </c>
      <c r="BC56" s="121" t="s">
        <v>57</v>
      </c>
      <c r="BD56" s="10"/>
      <c r="BE56" s="181"/>
      <c r="BF56" s="304"/>
      <c r="BG56" s="305"/>
      <c r="BH56" s="305"/>
      <c r="BI56" s="306"/>
    </row>
    <row r="57" spans="3:61" ht="16" x14ac:dyDescent="0.2">
      <c r="C57" s="120" t="s">
        <v>93</v>
      </c>
      <c r="D57" s="10">
        <v>3</v>
      </c>
      <c r="E57" s="10">
        <v>3</v>
      </c>
      <c r="F57" s="44">
        <f>(0.83*F10)-5</f>
        <v>-5</v>
      </c>
      <c r="G57" s="4" t="s">
        <v>3</v>
      </c>
      <c r="H57" s="35">
        <f>(0.83*F10)+5</f>
        <v>5</v>
      </c>
      <c r="I57" s="10">
        <v>8</v>
      </c>
      <c r="J57" s="121" t="s">
        <v>57</v>
      </c>
      <c r="K57" s="10"/>
      <c r="L57" s="181"/>
      <c r="M57" s="304"/>
      <c r="N57" s="305"/>
      <c r="O57" s="305"/>
      <c r="P57" s="306"/>
      <c r="R57" s="7" t="str">
        <f>R21</f>
        <v>Kniebeuge - Variation</v>
      </c>
      <c r="S57" s="8">
        <v>3</v>
      </c>
      <c r="T57" s="8">
        <v>2</v>
      </c>
      <c r="U57" s="30">
        <f>IF(R21="2ct. WK-Kniebeuge",(D11*0.83)-5,(D12*0.83)-5)</f>
        <v>-5</v>
      </c>
      <c r="V57" s="5" t="s">
        <v>3</v>
      </c>
      <c r="W57" s="31">
        <f>IF(R21="2ct. WK-Kniebeuge",(D11*0.83)+5,(D12*0.83)+5)</f>
        <v>5</v>
      </c>
      <c r="X57" s="8">
        <v>7</v>
      </c>
      <c r="Y57" s="67" t="s">
        <v>58</v>
      </c>
      <c r="Z57" s="8"/>
      <c r="AA57" s="180"/>
      <c r="AB57" s="312"/>
      <c r="AC57" s="313"/>
      <c r="AD57" s="313"/>
      <c r="AE57" s="314"/>
      <c r="AG57" s="7" t="str">
        <f>AG21</f>
        <v>Rudern</v>
      </c>
      <c r="AH57" s="8">
        <v>2</v>
      </c>
      <c r="AI57" s="28" t="s">
        <v>33</v>
      </c>
      <c r="AJ57" s="30"/>
      <c r="AK57" s="5" t="s">
        <v>3</v>
      </c>
      <c r="AL57" s="31"/>
      <c r="AM57" s="32" t="s">
        <v>32</v>
      </c>
      <c r="AN57" s="8"/>
      <c r="AO57" s="8"/>
      <c r="AP57" s="180"/>
      <c r="AQ57" s="312"/>
      <c r="AR57" s="313"/>
      <c r="AS57" s="313"/>
      <c r="AT57" s="314"/>
      <c r="AU57" s="25"/>
      <c r="AV57" s="7" t="str">
        <f>AV21</f>
        <v>Latzug</v>
      </c>
      <c r="AW57" s="8">
        <v>2</v>
      </c>
      <c r="AX57" s="32" t="s">
        <v>33</v>
      </c>
      <c r="AY57" s="81"/>
      <c r="AZ57" s="5" t="s">
        <v>3</v>
      </c>
      <c r="BA57" s="82"/>
      <c r="BB57" s="32" t="s">
        <v>32</v>
      </c>
      <c r="BC57" s="8"/>
      <c r="BD57" s="8"/>
      <c r="BE57" s="180"/>
      <c r="BF57" s="312"/>
      <c r="BG57" s="313"/>
      <c r="BH57" s="313"/>
      <c r="BI57" s="314"/>
    </row>
    <row r="58" spans="3:61" ht="16" x14ac:dyDescent="0.2">
      <c r="C58" s="7" t="str">
        <f>C22</f>
        <v>Unterkörperübung, unilateral</v>
      </c>
      <c r="D58" s="8">
        <v>2</v>
      </c>
      <c r="E58" s="8">
        <v>6</v>
      </c>
      <c r="F58" s="30"/>
      <c r="G58" s="5" t="s">
        <v>3</v>
      </c>
      <c r="H58" s="31"/>
      <c r="I58" s="32" t="s">
        <v>32</v>
      </c>
      <c r="J58" s="8"/>
      <c r="K58" s="8"/>
      <c r="L58" s="180"/>
      <c r="M58" s="312"/>
      <c r="N58" s="313"/>
      <c r="O58" s="313"/>
      <c r="P58" s="314"/>
      <c r="R58" s="9" t="str">
        <f>R22</f>
        <v>Oberkörper Drückbewegung</v>
      </c>
      <c r="S58" s="10">
        <v>2</v>
      </c>
      <c r="T58" s="10" t="str">
        <f>IF(OR(R58="Dips",R58="Military Press"),"5","6-8")</f>
        <v>6-8</v>
      </c>
      <c r="U58" s="44"/>
      <c r="V58" s="4" t="s">
        <v>3</v>
      </c>
      <c r="W58" s="35"/>
      <c r="X58" s="29" t="s">
        <v>32</v>
      </c>
      <c r="Y58" s="10"/>
      <c r="Z58" s="10"/>
      <c r="AA58" s="181"/>
      <c r="AB58" s="304"/>
      <c r="AC58" s="305"/>
      <c r="AD58" s="305"/>
      <c r="AE58" s="306"/>
      <c r="AG58" s="9" t="s">
        <v>24</v>
      </c>
      <c r="AH58" s="10">
        <v>2</v>
      </c>
      <c r="AI58" s="10">
        <v>6</v>
      </c>
      <c r="AJ58" s="44"/>
      <c r="AK58" s="4" t="s">
        <v>3</v>
      </c>
      <c r="AL58" s="35"/>
      <c r="AM58" s="29" t="s">
        <v>32</v>
      </c>
      <c r="AN58" s="10"/>
      <c r="AO58" s="10"/>
      <c r="AP58" s="181"/>
      <c r="AQ58" s="304"/>
      <c r="AR58" s="305"/>
      <c r="AS58" s="305"/>
      <c r="AT58" s="306"/>
      <c r="AU58" s="25"/>
      <c r="AV58" s="9" t="str">
        <f>AV22</f>
        <v>Hintere Schulter</v>
      </c>
      <c r="AW58" s="10">
        <v>2</v>
      </c>
      <c r="AX58" s="29" t="s">
        <v>38</v>
      </c>
      <c r="AY58" s="44"/>
      <c r="AZ58" s="4" t="s">
        <v>3</v>
      </c>
      <c r="BA58" s="35"/>
      <c r="BB58" s="29" t="s">
        <v>32</v>
      </c>
      <c r="BC58" s="10"/>
      <c r="BD58" s="10"/>
      <c r="BE58" s="181"/>
      <c r="BF58" s="304"/>
      <c r="BG58" s="305"/>
      <c r="BH58" s="305"/>
      <c r="BI58" s="306"/>
    </row>
    <row r="59" spans="3:61" ht="16" x14ac:dyDescent="0.2">
      <c r="C59" s="9" t="str">
        <f>C23</f>
        <v>Oberkörper Drückbewegung</v>
      </c>
      <c r="D59" s="10">
        <v>2</v>
      </c>
      <c r="E59" s="10">
        <f>IF(OR(C23="Dips",C23="LH Schulterdrücken"),4,6)</f>
        <v>6</v>
      </c>
      <c r="F59" s="89"/>
      <c r="G59" s="4" t="s">
        <v>3</v>
      </c>
      <c r="H59" s="90"/>
      <c r="I59" s="10">
        <v>9</v>
      </c>
      <c r="J59" s="10"/>
      <c r="K59" s="10"/>
      <c r="L59" s="181"/>
      <c r="M59" s="304"/>
      <c r="N59" s="305"/>
      <c r="O59" s="305"/>
      <c r="P59" s="306"/>
      <c r="R59" s="7"/>
      <c r="S59" s="32"/>
      <c r="T59" s="8"/>
      <c r="U59" s="30"/>
      <c r="V59" s="5" t="s">
        <v>3</v>
      </c>
      <c r="W59" s="31"/>
      <c r="X59" s="32"/>
      <c r="Y59" s="8"/>
      <c r="Z59" s="8"/>
      <c r="AA59" s="180"/>
      <c r="AB59" s="312"/>
      <c r="AC59" s="313"/>
      <c r="AD59" s="313"/>
      <c r="AE59" s="314"/>
      <c r="AG59" s="118" t="s">
        <v>96</v>
      </c>
      <c r="AH59" s="8">
        <v>2</v>
      </c>
      <c r="AI59" s="8"/>
      <c r="AJ59" s="30"/>
      <c r="AK59" s="5" t="s">
        <v>3</v>
      </c>
      <c r="AL59" s="31"/>
      <c r="AM59" s="8"/>
      <c r="AN59" s="8"/>
      <c r="AO59" s="8"/>
      <c r="AP59" s="180"/>
      <c r="AQ59" s="312"/>
      <c r="AR59" s="313"/>
      <c r="AS59" s="313"/>
      <c r="AT59" s="314"/>
      <c r="AU59" s="25"/>
      <c r="AV59" s="112"/>
      <c r="AW59" s="113"/>
      <c r="AX59" s="113"/>
      <c r="AY59" s="111"/>
      <c r="AZ59" s="56"/>
      <c r="BA59" s="114"/>
      <c r="BB59" s="113"/>
      <c r="BC59" s="113"/>
      <c r="BD59" s="113"/>
      <c r="BE59" s="56"/>
      <c r="BF59" s="312"/>
      <c r="BG59" s="313"/>
      <c r="BH59" s="313"/>
      <c r="BI59" s="314"/>
    </row>
    <row r="60" spans="3:61" ht="16" x14ac:dyDescent="0.2">
      <c r="C60" s="118" t="str">
        <f>C24</f>
        <v>Rudern</v>
      </c>
      <c r="D60" s="8">
        <v>2</v>
      </c>
      <c r="E60" s="279" t="str">
        <f>IF(OR(C60="Pendlay Rudern"),"4","6-8")</f>
        <v>6-8</v>
      </c>
      <c r="F60" s="30"/>
      <c r="G60" s="5" t="s">
        <v>3</v>
      </c>
      <c r="H60" s="31"/>
      <c r="I60" s="8">
        <v>9</v>
      </c>
      <c r="J60" s="8"/>
      <c r="K60" s="8"/>
      <c r="L60" s="180"/>
      <c r="M60" s="312"/>
      <c r="N60" s="313"/>
      <c r="O60" s="313"/>
      <c r="P60" s="314"/>
      <c r="R60" s="9"/>
      <c r="S60" s="10"/>
      <c r="T60" s="10"/>
      <c r="U60" s="44"/>
      <c r="V60" s="4" t="s">
        <v>3</v>
      </c>
      <c r="W60" s="35"/>
      <c r="X60" s="10"/>
      <c r="Y60" s="10"/>
      <c r="Z60" s="10"/>
      <c r="AA60" s="181"/>
      <c r="AB60" s="304"/>
      <c r="AC60" s="305"/>
      <c r="AD60" s="305"/>
      <c r="AE60" s="306"/>
      <c r="AG60" s="9"/>
      <c r="AH60" s="10"/>
      <c r="AI60" s="10"/>
      <c r="AJ60" s="44"/>
      <c r="AK60" s="4" t="s">
        <v>3</v>
      </c>
      <c r="AL60" s="35"/>
      <c r="AM60" s="10"/>
      <c r="AN60" s="10"/>
      <c r="AO60" s="10"/>
      <c r="AP60" s="181"/>
      <c r="AQ60" s="304"/>
      <c r="AR60" s="305"/>
      <c r="AS60" s="305"/>
      <c r="AT60" s="306"/>
      <c r="AU60" s="25"/>
      <c r="AV60" s="9"/>
      <c r="AW60" s="10"/>
      <c r="AX60" s="10"/>
      <c r="AY60" s="44"/>
      <c r="AZ60" s="4" t="s">
        <v>3</v>
      </c>
      <c r="BA60" s="35"/>
      <c r="BB60" s="10"/>
      <c r="BC60" s="10"/>
      <c r="BD60" s="10"/>
      <c r="BE60" s="181"/>
      <c r="BF60" s="304"/>
      <c r="BG60" s="305"/>
      <c r="BH60" s="305"/>
      <c r="BI60" s="306"/>
    </row>
    <row r="61" spans="3:61" ht="17" thickBot="1" x14ac:dyDescent="0.25">
      <c r="C61" s="100" t="str">
        <f>C25</f>
        <v>Optional: Unterarmstütz/Ab Roll</v>
      </c>
      <c r="D61" s="101">
        <v>2</v>
      </c>
      <c r="E61" s="101"/>
      <c r="F61" s="102"/>
      <c r="G61" s="3" t="s">
        <v>3</v>
      </c>
      <c r="H61" s="103"/>
      <c r="I61" s="101"/>
      <c r="J61" s="101"/>
      <c r="K61" s="101"/>
      <c r="L61" s="184"/>
      <c r="M61" s="334"/>
      <c r="N61" s="335"/>
      <c r="O61" s="335"/>
      <c r="P61" s="336"/>
      <c r="R61" s="11"/>
      <c r="S61" s="12"/>
      <c r="T61" s="12"/>
      <c r="U61" s="45"/>
      <c r="V61" s="6" t="s">
        <v>3</v>
      </c>
      <c r="W61" s="36"/>
      <c r="X61" s="12"/>
      <c r="Y61" s="12"/>
      <c r="Z61" s="12"/>
      <c r="AA61" s="182"/>
      <c r="AB61" s="321"/>
      <c r="AC61" s="322"/>
      <c r="AD61" s="322"/>
      <c r="AE61" s="323"/>
      <c r="AG61" s="11"/>
      <c r="AH61" s="12"/>
      <c r="AI61" s="12"/>
      <c r="AJ61" s="45"/>
      <c r="AK61" s="6" t="s">
        <v>3</v>
      </c>
      <c r="AL61" s="36"/>
      <c r="AM61" s="12"/>
      <c r="AN61" s="12"/>
      <c r="AO61" s="12"/>
      <c r="AP61" s="182"/>
      <c r="AQ61" s="321"/>
      <c r="AR61" s="322"/>
      <c r="AS61" s="322"/>
      <c r="AT61" s="323"/>
      <c r="AU61" s="25"/>
      <c r="AV61" s="11"/>
      <c r="AW61" s="12"/>
      <c r="AX61" s="12"/>
      <c r="AY61" s="45"/>
      <c r="AZ61" s="6" t="s">
        <v>3</v>
      </c>
      <c r="BA61" s="36"/>
      <c r="BB61" s="12"/>
      <c r="BC61" s="12"/>
      <c r="BD61" s="12"/>
      <c r="BE61" s="182"/>
      <c r="BF61" s="321"/>
      <c r="BG61" s="322"/>
      <c r="BH61" s="322"/>
      <c r="BI61" s="323"/>
    </row>
    <row r="62" spans="3:61" x14ac:dyDescent="0.2">
      <c r="F62"/>
      <c r="H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</row>
    <row r="63" spans="3:61" ht="16" thickBot="1" x14ac:dyDescent="0.25"/>
    <row r="64" spans="3:61" ht="25" thickBot="1" x14ac:dyDescent="0.25">
      <c r="C64" s="95" t="s">
        <v>40</v>
      </c>
      <c r="D64" s="1"/>
      <c r="E64" s="1"/>
      <c r="F64" s="43"/>
      <c r="G64" s="1"/>
      <c r="H64" s="46"/>
      <c r="I64" s="1"/>
      <c r="J64" s="1"/>
      <c r="K64" s="1"/>
      <c r="L64" s="1"/>
      <c r="M64" s="1"/>
      <c r="N64" s="1"/>
      <c r="O64" s="1"/>
      <c r="P64" s="1"/>
    </row>
    <row r="65" spans="3:61" ht="20" thickBot="1" x14ac:dyDescent="0.3">
      <c r="C65" s="94" t="s">
        <v>41</v>
      </c>
      <c r="D65" s="299" t="s">
        <v>128</v>
      </c>
      <c r="E65" s="299" t="s">
        <v>54</v>
      </c>
      <c r="F65" s="308" t="s">
        <v>27</v>
      </c>
      <c r="G65" s="308"/>
      <c r="H65" s="309"/>
      <c r="I65" s="299" t="s">
        <v>5</v>
      </c>
      <c r="J65" s="299" t="s">
        <v>129</v>
      </c>
      <c r="K65" s="299" t="s">
        <v>7</v>
      </c>
      <c r="L65" s="298" t="s">
        <v>63</v>
      </c>
      <c r="M65" s="310" t="s">
        <v>6</v>
      </c>
      <c r="N65" s="308"/>
      <c r="O65" s="308"/>
      <c r="P65" s="311"/>
      <c r="R65" s="142" t="s">
        <v>42</v>
      </c>
      <c r="S65" s="299" t="s">
        <v>128</v>
      </c>
      <c r="T65" s="299" t="s">
        <v>54</v>
      </c>
      <c r="U65" s="308" t="s">
        <v>27</v>
      </c>
      <c r="V65" s="308"/>
      <c r="W65" s="309"/>
      <c r="X65" s="299" t="s">
        <v>5</v>
      </c>
      <c r="Y65" s="299" t="s">
        <v>129</v>
      </c>
      <c r="Z65" s="299" t="s">
        <v>7</v>
      </c>
      <c r="AA65" s="298" t="s">
        <v>63</v>
      </c>
      <c r="AB65" s="310" t="s">
        <v>6</v>
      </c>
      <c r="AC65" s="308"/>
      <c r="AD65" s="308"/>
      <c r="AE65" s="311"/>
      <c r="AG65" s="349" t="s">
        <v>43</v>
      </c>
      <c r="AH65" s="350"/>
      <c r="AI65" s="350"/>
      <c r="AJ65" s="350"/>
      <c r="AK65" s="350"/>
      <c r="AL65" s="351"/>
      <c r="AM65" s="23"/>
      <c r="AN65" s="349" t="s">
        <v>47</v>
      </c>
      <c r="AO65" s="350"/>
      <c r="AP65" s="350"/>
      <c r="AQ65" s="350"/>
      <c r="AR65" s="350"/>
      <c r="AS65" s="350"/>
      <c r="AT65" s="351"/>
      <c r="AU65" s="26"/>
      <c r="AV65" s="23"/>
      <c r="AW65" s="23"/>
      <c r="AX65" s="23"/>
      <c r="AY65" s="363"/>
      <c r="AZ65" s="363"/>
      <c r="BA65" s="363"/>
      <c r="BB65" s="23"/>
      <c r="BC65" s="23"/>
      <c r="BD65" s="23"/>
      <c r="BE65" s="176"/>
      <c r="BF65" s="23"/>
      <c r="BG65" s="23"/>
      <c r="BH65" s="23"/>
      <c r="BI65" s="23"/>
    </row>
    <row r="66" spans="3:61" ht="15.5" customHeight="1" x14ac:dyDescent="0.2">
      <c r="C66" s="7" t="str">
        <f>C18</f>
        <v>WK-Kniebeuge</v>
      </c>
      <c r="D66" s="8">
        <v>2</v>
      </c>
      <c r="E66" s="8">
        <v>1</v>
      </c>
      <c r="F66" s="354" t="s">
        <v>44</v>
      </c>
      <c r="G66" s="355"/>
      <c r="H66" s="356"/>
      <c r="I66" s="8">
        <v>8</v>
      </c>
      <c r="J66" s="8" t="s">
        <v>58</v>
      </c>
      <c r="K66" s="8"/>
      <c r="L66" s="180"/>
      <c r="M66" s="318"/>
      <c r="N66" s="319"/>
      <c r="O66" s="319"/>
      <c r="P66" s="320"/>
      <c r="R66" s="118" t="s">
        <v>92</v>
      </c>
      <c r="S66" s="119">
        <v>1</v>
      </c>
      <c r="T66" s="119">
        <v>1</v>
      </c>
      <c r="U66" s="367">
        <f>0.84*D10</f>
        <v>0</v>
      </c>
      <c r="V66" s="368"/>
      <c r="W66" s="369"/>
      <c r="X66" s="119">
        <v>7</v>
      </c>
      <c r="Y66" s="119" t="s">
        <v>58</v>
      </c>
      <c r="Z66" s="119"/>
      <c r="AA66" s="180"/>
      <c r="AB66" s="133"/>
      <c r="AC66" s="134"/>
      <c r="AD66" s="134"/>
      <c r="AE66" s="135"/>
      <c r="AG66" s="343" t="s">
        <v>101</v>
      </c>
      <c r="AH66" s="344"/>
      <c r="AI66" s="344"/>
      <c r="AJ66" s="344"/>
      <c r="AK66" s="344"/>
      <c r="AL66" s="345"/>
      <c r="AM66" s="24"/>
      <c r="AN66" s="343" t="s">
        <v>48</v>
      </c>
      <c r="AO66" s="344"/>
      <c r="AP66" s="344"/>
      <c r="AQ66" s="344"/>
      <c r="AR66" s="344"/>
      <c r="AS66" s="344"/>
      <c r="AT66" s="345"/>
      <c r="AU66" s="25"/>
      <c r="AV66" s="24"/>
      <c r="AW66" s="24"/>
      <c r="AX66" s="24"/>
      <c r="AY66" s="87"/>
      <c r="AZ66" s="66"/>
      <c r="BA66" s="88"/>
      <c r="BB66" s="24"/>
      <c r="BC66" s="24"/>
      <c r="BD66" s="24"/>
      <c r="BE66" s="24"/>
      <c r="BF66" s="73"/>
      <c r="BG66" s="73"/>
      <c r="BH66" s="73"/>
      <c r="BI66" s="73"/>
    </row>
    <row r="67" spans="3:61" ht="16" x14ac:dyDescent="0.2">
      <c r="C67" s="9" t="s">
        <v>92</v>
      </c>
      <c r="D67" s="10">
        <v>2</v>
      </c>
      <c r="E67" s="10">
        <v>1</v>
      </c>
      <c r="F67" s="360" t="s">
        <v>45</v>
      </c>
      <c r="G67" s="361"/>
      <c r="H67" s="362"/>
      <c r="I67" s="10">
        <v>7</v>
      </c>
      <c r="J67" s="10" t="s">
        <v>58</v>
      </c>
      <c r="K67" s="10"/>
      <c r="L67" s="181"/>
      <c r="M67" s="304"/>
      <c r="N67" s="305"/>
      <c r="O67" s="305"/>
      <c r="P67" s="306"/>
      <c r="R67" s="120" t="s">
        <v>92</v>
      </c>
      <c r="S67" s="121">
        <v>2</v>
      </c>
      <c r="T67" s="121">
        <v>1</v>
      </c>
      <c r="U67" s="370">
        <f>0.8*D10</f>
        <v>0</v>
      </c>
      <c r="V67" s="371"/>
      <c r="W67" s="372"/>
      <c r="X67" s="121">
        <v>6</v>
      </c>
      <c r="Y67" s="121" t="s">
        <v>58</v>
      </c>
      <c r="Z67" s="121"/>
      <c r="AA67" s="181"/>
      <c r="AB67" s="127"/>
      <c r="AC67" s="128"/>
      <c r="AD67" s="128"/>
      <c r="AE67" s="129"/>
      <c r="AG67" s="346"/>
      <c r="AH67" s="347"/>
      <c r="AI67" s="347"/>
      <c r="AJ67" s="347"/>
      <c r="AK67" s="347"/>
      <c r="AL67" s="348"/>
      <c r="AM67" s="24"/>
      <c r="AN67" s="91"/>
      <c r="AO67" s="93"/>
      <c r="AP67" s="93"/>
      <c r="AQ67" s="352"/>
      <c r="AR67" s="352"/>
      <c r="AS67" s="352"/>
      <c r="AT67" s="353"/>
      <c r="AU67" s="25"/>
      <c r="AV67" s="24"/>
      <c r="AW67" s="24"/>
      <c r="AX67" s="24"/>
      <c r="AY67" s="87"/>
      <c r="AZ67" s="66"/>
      <c r="BA67" s="88"/>
      <c r="BB67" s="24"/>
      <c r="BC67" s="24"/>
      <c r="BD67" s="24"/>
      <c r="BE67" s="24"/>
      <c r="BF67" s="73"/>
      <c r="BG67" s="73"/>
      <c r="BH67" s="73"/>
      <c r="BI67" s="73"/>
    </row>
    <row r="68" spans="3:61" ht="15.5" customHeight="1" x14ac:dyDescent="0.2">
      <c r="C68" s="7" t="s">
        <v>100</v>
      </c>
      <c r="D68" s="8">
        <v>2</v>
      </c>
      <c r="E68" s="8">
        <v>1</v>
      </c>
      <c r="F68" s="357" t="s">
        <v>44</v>
      </c>
      <c r="G68" s="358"/>
      <c r="H68" s="359"/>
      <c r="I68" s="8">
        <v>8</v>
      </c>
      <c r="J68" s="8" t="s">
        <v>57</v>
      </c>
      <c r="K68" s="8"/>
      <c r="L68" s="180"/>
      <c r="M68" s="312"/>
      <c r="N68" s="313"/>
      <c r="O68" s="313"/>
      <c r="P68" s="314"/>
      <c r="R68" s="118" t="s">
        <v>93</v>
      </c>
      <c r="S68" s="119">
        <v>1</v>
      </c>
      <c r="T68" s="119">
        <v>1</v>
      </c>
      <c r="U68" s="315">
        <f>0.84*F10</f>
        <v>0</v>
      </c>
      <c r="V68" s="316"/>
      <c r="W68" s="317"/>
      <c r="X68" s="119">
        <v>7</v>
      </c>
      <c r="Y68" s="119" t="s">
        <v>57</v>
      </c>
      <c r="Z68" s="119"/>
      <c r="AA68" s="180"/>
      <c r="AB68" s="124"/>
      <c r="AC68" s="125"/>
      <c r="AD68" s="125"/>
      <c r="AE68" s="126"/>
      <c r="AG68" s="346"/>
      <c r="AH68" s="347"/>
      <c r="AI68" s="347"/>
      <c r="AJ68" s="347"/>
      <c r="AK68" s="347"/>
      <c r="AL68" s="348"/>
      <c r="AM68" s="24"/>
      <c r="AN68" s="346" t="s">
        <v>51</v>
      </c>
      <c r="AO68" s="347"/>
      <c r="AP68" s="347"/>
      <c r="AQ68" s="347"/>
      <c r="AR68" s="347"/>
      <c r="AS68" s="347"/>
      <c r="AT68" s="348"/>
      <c r="AU68" s="25"/>
      <c r="AV68" s="24"/>
      <c r="AW68" s="24"/>
      <c r="AX68" s="24"/>
      <c r="AY68" s="87"/>
      <c r="AZ68" s="66"/>
      <c r="BA68" s="88"/>
      <c r="BB68" s="24"/>
      <c r="BC68" s="24"/>
      <c r="BD68" s="24"/>
      <c r="BE68" s="24"/>
      <c r="BF68" s="73"/>
      <c r="BG68" s="73"/>
      <c r="BH68" s="73"/>
      <c r="BI68" s="73"/>
    </row>
    <row r="69" spans="3:61" ht="15.5" customHeight="1" x14ac:dyDescent="0.2">
      <c r="C69" s="9" t="s">
        <v>100</v>
      </c>
      <c r="D69" s="29" t="s">
        <v>34</v>
      </c>
      <c r="E69" s="10">
        <v>1</v>
      </c>
      <c r="F69" s="360" t="s">
        <v>45</v>
      </c>
      <c r="G69" s="361"/>
      <c r="H69" s="362"/>
      <c r="I69" s="10">
        <v>7</v>
      </c>
      <c r="J69" s="10" t="s">
        <v>57</v>
      </c>
      <c r="K69" s="10"/>
      <c r="L69" s="181"/>
      <c r="M69" s="304"/>
      <c r="N69" s="305"/>
      <c r="O69" s="305"/>
      <c r="P69" s="306"/>
      <c r="R69" s="120" t="s">
        <v>93</v>
      </c>
      <c r="S69" s="121">
        <v>2</v>
      </c>
      <c r="T69" s="121">
        <v>1</v>
      </c>
      <c r="U69" s="370">
        <f>0.8*F10</f>
        <v>0</v>
      </c>
      <c r="V69" s="371"/>
      <c r="W69" s="372"/>
      <c r="X69" s="121">
        <v>6</v>
      </c>
      <c r="Y69" s="121" t="s">
        <v>57</v>
      </c>
      <c r="Z69" s="121"/>
      <c r="AA69" s="181"/>
      <c r="AB69" s="127"/>
      <c r="AC69" s="128"/>
      <c r="AD69" s="128"/>
      <c r="AE69" s="129"/>
      <c r="AG69" s="346"/>
      <c r="AH69" s="347"/>
      <c r="AI69" s="347"/>
      <c r="AJ69" s="347"/>
      <c r="AK69" s="347"/>
      <c r="AL69" s="348"/>
      <c r="AM69" s="24"/>
      <c r="AN69" s="346" t="s">
        <v>49</v>
      </c>
      <c r="AO69" s="347"/>
      <c r="AP69" s="347"/>
      <c r="AQ69" s="347"/>
      <c r="AR69" s="347"/>
      <c r="AS69" s="347"/>
      <c r="AT69" s="348"/>
      <c r="AU69" s="25"/>
      <c r="AV69" s="24"/>
      <c r="AW69" s="24"/>
      <c r="AX69" s="24"/>
      <c r="AY69" s="87"/>
      <c r="AZ69" s="66"/>
      <c r="BA69" s="88"/>
      <c r="BB69" s="24"/>
      <c r="BC69" s="24"/>
      <c r="BD69" s="24"/>
      <c r="BE69" s="24"/>
      <c r="BF69" s="73"/>
      <c r="BG69" s="73"/>
      <c r="BH69" s="73"/>
      <c r="BI69" s="73"/>
    </row>
    <row r="70" spans="3:61" ht="15" customHeight="1" x14ac:dyDescent="0.2">
      <c r="C70" s="7" t="s">
        <v>94</v>
      </c>
      <c r="D70" s="8">
        <v>1</v>
      </c>
      <c r="E70" s="8">
        <v>1</v>
      </c>
      <c r="F70" s="315">
        <f>H10*0.8</f>
        <v>0</v>
      </c>
      <c r="G70" s="316"/>
      <c r="H70" s="317"/>
      <c r="I70" s="32" t="s">
        <v>46</v>
      </c>
      <c r="J70" s="8" t="s">
        <v>2</v>
      </c>
      <c r="K70" s="8"/>
      <c r="L70" s="180"/>
      <c r="M70" s="312"/>
      <c r="N70" s="313"/>
      <c r="O70" s="313"/>
      <c r="P70" s="314"/>
      <c r="R70" s="118"/>
      <c r="S70" s="119"/>
      <c r="T70" s="119"/>
      <c r="U70" s="136"/>
      <c r="V70" s="116" t="s">
        <v>3</v>
      </c>
      <c r="W70" s="137"/>
      <c r="X70" s="119"/>
      <c r="Y70" s="119"/>
      <c r="Z70" s="119"/>
      <c r="AA70" s="180"/>
      <c r="AB70" s="124"/>
      <c r="AC70" s="125"/>
      <c r="AD70" s="125"/>
      <c r="AE70" s="126"/>
      <c r="AG70" s="346"/>
      <c r="AH70" s="347"/>
      <c r="AI70" s="347"/>
      <c r="AJ70" s="347"/>
      <c r="AK70" s="347"/>
      <c r="AL70" s="348"/>
      <c r="AM70" s="24"/>
      <c r="AN70" s="346" t="s">
        <v>50</v>
      </c>
      <c r="AO70" s="347"/>
      <c r="AP70" s="347"/>
      <c r="AQ70" s="347"/>
      <c r="AR70" s="347"/>
      <c r="AS70" s="347"/>
      <c r="AT70" s="348"/>
      <c r="AU70" s="25"/>
      <c r="AV70" s="24"/>
      <c r="AW70" s="24"/>
      <c r="AX70" s="24"/>
      <c r="AY70" s="87"/>
      <c r="AZ70" s="66"/>
      <c r="BA70" s="88"/>
      <c r="BB70" s="24"/>
      <c r="BC70" s="24"/>
      <c r="BD70" s="24"/>
      <c r="BE70" s="24"/>
      <c r="BF70" s="73"/>
      <c r="BG70" s="73"/>
      <c r="BH70" s="73"/>
      <c r="BI70" s="73"/>
    </row>
    <row r="71" spans="3:61" ht="16" x14ac:dyDescent="0.2">
      <c r="C71" s="9"/>
      <c r="D71" s="10"/>
      <c r="E71" s="10"/>
      <c r="F71" s="44"/>
      <c r="G71" s="4" t="s">
        <v>3</v>
      </c>
      <c r="H71" s="35"/>
      <c r="I71" s="10"/>
      <c r="J71" s="10"/>
      <c r="K71" s="10"/>
      <c r="L71" s="181"/>
      <c r="M71" s="304"/>
      <c r="N71" s="305"/>
      <c r="O71" s="305"/>
      <c r="P71" s="306"/>
      <c r="R71" s="120"/>
      <c r="S71" s="121"/>
      <c r="T71" s="121"/>
      <c r="U71" s="138"/>
      <c r="V71" s="115" t="s">
        <v>3</v>
      </c>
      <c r="W71" s="140"/>
      <c r="X71" s="121"/>
      <c r="Y71" s="121"/>
      <c r="Z71" s="121"/>
      <c r="AA71" s="181"/>
      <c r="AB71" s="127"/>
      <c r="AC71" s="128"/>
      <c r="AD71" s="128"/>
      <c r="AE71" s="129"/>
      <c r="AG71" s="346"/>
      <c r="AH71" s="347"/>
      <c r="AI71" s="347"/>
      <c r="AJ71" s="347"/>
      <c r="AK71" s="347"/>
      <c r="AL71" s="348"/>
      <c r="AM71" s="24"/>
      <c r="AN71" s="91"/>
      <c r="AO71" s="92"/>
      <c r="AP71" s="92"/>
      <c r="AQ71" s="347"/>
      <c r="AR71" s="347"/>
      <c r="AS71" s="347"/>
      <c r="AT71" s="348"/>
      <c r="AU71" s="25"/>
      <c r="AV71" s="24"/>
      <c r="AW71" s="24"/>
      <c r="AX71" s="24"/>
      <c r="AY71" s="87"/>
      <c r="AZ71" s="66"/>
      <c r="BA71" s="88"/>
      <c r="BB71" s="24"/>
      <c r="BC71" s="24"/>
      <c r="BD71" s="24"/>
      <c r="BE71" s="24"/>
      <c r="BF71" s="73"/>
      <c r="BG71" s="73"/>
      <c r="BH71" s="73"/>
      <c r="BI71" s="73"/>
    </row>
    <row r="72" spans="3:61" ht="16.25" customHeight="1" thickBot="1" x14ac:dyDescent="0.25">
      <c r="C72" s="11"/>
      <c r="D72" s="12"/>
      <c r="E72" s="12"/>
      <c r="F72" s="45"/>
      <c r="G72" s="6" t="s">
        <v>3</v>
      </c>
      <c r="H72" s="36"/>
      <c r="I72" s="12"/>
      <c r="J72" s="12"/>
      <c r="K72" s="12"/>
      <c r="L72" s="182"/>
      <c r="M72" s="321"/>
      <c r="N72" s="322"/>
      <c r="O72" s="322"/>
      <c r="P72" s="323"/>
      <c r="R72" s="122"/>
      <c r="S72" s="123"/>
      <c r="T72" s="123"/>
      <c r="U72" s="139"/>
      <c r="V72" s="117" t="s">
        <v>3</v>
      </c>
      <c r="W72" s="141"/>
      <c r="X72" s="123"/>
      <c r="Y72" s="123"/>
      <c r="Z72" s="123"/>
      <c r="AA72" s="182"/>
      <c r="AB72" s="130"/>
      <c r="AC72" s="131"/>
      <c r="AD72" s="131"/>
      <c r="AE72" s="132"/>
      <c r="AG72" s="340"/>
      <c r="AH72" s="341"/>
      <c r="AI72" s="341"/>
      <c r="AJ72" s="341"/>
      <c r="AK72" s="341"/>
      <c r="AL72" s="342"/>
      <c r="AM72" s="24"/>
      <c r="AN72" s="340" t="s">
        <v>53</v>
      </c>
      <c r="AO72" s="341"/>
      <c r="AP72" s="341"/>
      <c r="AQ72" s="341"/>
      <c r="AR72" s="341"/>
      <c r="AS72" s="341"/>
      <c r="AT72" s="342"/>
      <c r="AU72" s="25"/>
      <c r="AV72" s="24"/>
      <c r="AW72" s="24"/>
      <c r="AX72" s="24"/>
      <c r="AY72" s="87"/>
      <c r="AZ72" s="66"/>
      <c r="BA72" s="88"/>
      <c r="BB72" s="24"/>
      <c r="BC72" s="24"/>
      <c r="BD72" s="24"/>
      <c r="BE72" s="24"/>
      <c r="BF72" s="73"/>
      <c r="BG72" s="73"/>
      <c r="BH72" s="73"/>
      <c r="BI72" s="73"/>
    </row>
    <row r="78" spans="3:61" x14ac:dyDescent="0.2">
      <c r="F78" s="43"/>
    </row>
  </sheetData>
  <mergeCells count="189">
    <mergeCell ref="AB61:AE61"/>
    <mergeCell ref="AB65:AE65"/>
    <mergeCell ref="U66:W66"/>
    <mergeCell ref="U67:W67"/>
    <mergeCell ref="U68:W68"/>
    <mergeCell ref="U69:W69"/>
    <mergeCell ref="U65:W65"/>
    <mergeCell ref="F17:H17"/>
    <mergeCell ref="M17:P17"/>
    <mergeCell ref="U17:W17"/>
    <mergeCell ref="AB17:AE17"/>
    <mergeCell ref="M19:P19"/>
    <mergeCell ref="M21:P21"/>
    <mergeCell ref="M31:P31"/>
    <mergeCell ref="AB19:AE19"/>
    <mergeCell ref="AB24:AE24"/>
    <mergeCell ref="M22:P22"/>
    <mergeCell ref="F29:H29"/>
    <mergeCell ref="M29:P29"/>
    <mergeCell ref="U29:W29"/>
    <mergeCell ref="AB29:AE29"/>
    <mergeCell ref="F41:H41"/>
    <mergeCell ref="M41:P41"/>
    <mergeCell ref="U41:W41"/>
    <mergeCell ref="AJ17:AL17"/>
    <mergeCell ref="AQ17:AT17"/>
    <mergeCell ref="AY17:BA17"/>
    <mergeCell ref="BF17:BI17"/>
    <mergeCell ref="M18:P18"/>
    <mergeCell ref="M20:P20"/>
    <mergeCell ref="AB18:AE18"/>
    <mergeCell ref="AQ18:AT18"/>
    <mergeCell ref="BF18:BI18"/>
    <mergeCell ref="AQ19:AT19"/>
    <mergeCell ref="BF19:BI19"/>
    <mergeCell ref="BF21:BI21"/>
    <mergeCell ref="AB20:AE20"/>
    <mergeCell ref="AQ20:AT20"/>
    <mergeCell ref="BF20:BI20"/>
    <mergeCell ref="AQ21:AT21"/>
    <mergeCell ref="M23:P23"/>
    <mergeCell ref="AB21:AE21"/>
    <mergeCell ref="AB22:AE22"/>
    <mergeCell ref="BF23:BI23"/>
    <mergeCell ref="AQ24:AT24"/>
    <mergeCell ref="BF24:BI24"/>
    <mergeCell ref="AB25:AE25"/>
    <mergeCell ref="AQ25:AT25"/>
    <mergeCell ref="BF25:BI25"/>
    <mergeCell ref="AB23:AE23"/>
    <mergeCell ref="AQ22:AT22"/>
    <mergeCell ref="M24:P24"/>
    <mergeCell ref="M25:P25"/>
    <mergeCell ref="AQ23:AT23"/>
    <mergeCell ref="BF22:BI22"/>
    <mergeCell ref="AJ29:AL29"/>
    <mergeCell ref="AQ29:AT29"/>
    <mergeCell ref="AY29:BA29"/>
    <mergeCell ref="BF29:BI29"/>
    <mergeCell ref="M30:P30"/>
    <mergeCell ref="M32:P32"/>
    <mergeCell ref="AB30:AE30"/>
    <mergeCell ref="AQ30:AT30"/>
    <mergeCell ref="BF30:BI30"/>
    <mergeCell ref="AQ31:AT31"/>
    <mergeCell ref="BF31:BI31"/>
    <mergeCell ref="BF33:BI33"/>
    <mergeCell ref="AB32:AE32"/>
    <mergeCell ref="AQ32:AT32"/>
    <mergeCell ref="BF32:BI32"/>
    <mergeCell ref="AQ33:AT33"/>
    <mergeCell ref="M35:P35"/>
    <mergeCell ref="AB33:AE33"/>
    <mergeCell ref="AB34:AE34"/>
    <mergeCell ref="M33:P33"/>
    <mergeCell ref="BF35:BI35"/>
    <mergeCell ref="AQ36:AT36"/>
    <mergeCell ref="BF36:BI36"/>
    <mergeCell ref="AB37:AE37"/>
    <mergeCell ref="AQ37:AT37"/>
    <mergeCell ref="BF37:BI37"/>
    <mergeCell ref="AB35:AE35"/>
    <mergeCell ref="AQ34:AT34"/>
    <mergeCell ref="M36:P36"/>
    <mergeCell ref="M37:P37"/>
    <mergeCell ref="AQ35:AT35"/>
    <mergeCell ref="BF34:BI34"/>
    <mergeCell ref="M34:P34"/>
    <mergeCell ref="AB41:AE41"/>
    <mergeCell ref="AJ41:AL41"/>
    <mergeCell ref="AQ41:AT41"/>
    <mergeCell ref="AY41:BA41"/>
    <mergeCell ref="BF41:BI41"/>
    <mergeCell ref="M42:P42"/>
    <mergeCell ref="M44:P44"/>
    <mergeCell ref="AB42:AE42"/>
    <mergeCell ref="AQ42:AT42"/>
    <mergeCell ref="BF42:BI42"/>
    <mergeCell ref="M43:P43"/>
    <mergeCell ref="AB43:AE43"/>
    <mergeCell ref="AQ43:AT43"/>
    <mergeCell ref="BF43:BI43"/>
    <mergeCell ref="BF45:BI45"/>
    <mergeCell ref="AB44:AE44"/>
    <mergeCell ref="AQ44:AT44"/>
    <mergeCell ref="BF44:BI44"/>
    <mergeCell ref="AQ45:AT45"/>
    <mergeCell ref="M47:P47"/>
    <mergeCell ref="AB45:AE45"/>
    <mergeCell ref="AB46:AE46"/>
    <mergeCell ref="M45:P45"/>
    <mergeCell ref="BF47:BI47"/>
    <mergeCell ref="AQ46:AT46"/>
    <mergeCell ref="M48:P48"/>
    <mergeCell ref="M49:P49"/>
    <mergeCell ref="AB47:AE47"/>
    <mergeCell ref="AQ47:AT47"/>
    <mergeCell ref="BF46:BI46"/>
    <mergeCell ref="BF55:BI55"/>
    <mergeCell ref="M54:P54"/>
    <mergeCell ref="AB48:AE48"/>
    <mergeCell ref="AQ48:AT48"/>
    <mergeCell ref="BF48:BI48"/>
    <mergeCell ref="M55:P55"/>
    <mergeCell ref="AB49:AE49"/>
    <mergeCell ref="AQ49:AT49"/>
    <mergeCell ref="BF49:BI49"/>
    <mergeCell ref="M46:P46"/>
    <mergeCell ref="F53:H53"/>
    <mergeCell ref="M57:P57"/>
    <mergeCell ref="U53:W53"/>
    <mergeCell ref="AB55:AE55"/>
    <mergeCell ref="AQ55:AT55"/>
    <mergeCell ref="AJ53:AL53"/>
    <mergeCell ref="AQ53:AT53"/>
    <mergeCell ref="BF53:BI53"/>
    <mergeCell ref="AB54:AE54"/>
    <mergeCell ref="AQ54:AT54"/>
    <mergeCell ref="BF54:BI54"/>
    <mergeCell ref="M53:P53"/>
    <mergeCell ref="AB53:AE53"/>
    <mergeCell ref="AQ57:AT57"/>
    <mergeCell ref="M56:P56"/>
    <mergeCell ref="AY65:BA65"/>
    <mergeCell ref="M65:P65"/>
    <mergeCell ref="AG65:AL65"/>
    <mergeCell ref="AY53:BA53"/>
    <mergeCell ref="BF57:BI57"/>
    <mergeCell ref="AB56:AE56"/>
    <mergeCell ref="AQ56:AT56"/>
    <mergeCell ref="BF56:BI56"/>
    <mergeCell ref="AB57:AE57"/>
    <mergeCell ref="M58:P58"/>
    <mergeCell ref="M59:P59"/>
    <mergeCell ref="M60:P60"/>
    <mergeCell ref="M61:P61"/>
    <mergeCell ref="AQ58:AT58"/>
    <mergeCell ref="AQ59:AT59"/>
    <mergeCell ref="AQ60:AT60"/>
    <mergeCell ref="AQ61:AT61"/>
    <mergeCell ref="BF58:BI58"/>
    <mergeCell ref="BF59:BI59"/>
    <mergeCell ref="BF60:BI60"/>
    <mergeCell ref="BF61:BI61"/>
    <mergeCell ref="AB58:AE58"/>
    <mergeCell ref="AB59:AE59"/>
    <mergeCell ref="AB60:AE60"/>
    <mergeCell ref="AN72:AT72"/>
    <mergeCell ref="AG66:AL72"/>
    <mergeCell ref="AN65:AT65"/>
    <mergeCell ref="AN66:AT66"/>
    <mergeCell ref="AQ67:AT67"/>
    <mergeCell ref="AQ71:AT71"/>
    <mergeCell ref="F70:H70"/>
    <mergeCell ref="F66:H66"/>
    <mergeCell ref="F68:H68"/>
    <mergeCell ref="F67:H67"/>
    <mergeCell ref="F69:H69"/>
    <mergeCell ref="F65:H65"/>
    <mergeCell ref="AN68:AT68"/>
    <mergeCell ref="AN69:AT69"/>
    <mergeCell ref="AN70:AT70"/>
    <mergeCell ref="M66:P66"/>
    <mergeCell ref="M67:P67"/>
    <mergeCell ref="M69:P69"/>
    <mergeCell ref="M71:P71"/>
    <mergeCell ref="M70:P70"/>
    <mergeCell ref="M68:P68"/>
    <mergeCell ref="M72:P72"/>
  </mergeCells>
  <dataValidations count="9">
    <dataValidation type="list" allowBlank="1" showInputMessage="1" showErrorMessage="1" sqref="R21" xr:uid="{BC97540B-DF86-425C-B9F8-ED2DCEFB1FF6}">
      <formula1>$BL$17:$BL$19</formula1>
    </dataValidation>
    <dataValidation type="list" allowBlank="1" showInputMessage="1" showErrorMessage="1" sqref="AG21" xr:uid="{986543E6-8AE0-4D2E-800E-4A25728F1C7B}">
      <formula1>$BL$20:$BL$24</formula1>
    </dataValidation>
    <dataValidation type="list" allowBlank="1" showInputMessage="1" showErrorMessage="1" sqref="AV21" xr:uid="{87B0FA98-53AF-40D8-985D-07EF6359B267}">
      <formula1>$BN$17:$BN$19</formula1>
    </dataValidation>
    <dataValidation type="list" allowBlank="1" showInputMessage="1" showErrorMessage="1" sqref="C23" xr:uid="{05B0D732-41E3-4BF5-B6CF-824AFFF8357E}">
      <formula1>$BN$20:$BN$25</formula1>
    </dataValidation>
    <dataValidation type="list" allowBlank="1" showInputMessage="1" showErrorMessage="1" sqref="C22" xr:uid="{4CC709BA-6BF4-48F2-8146-E60B4AD03F42}">
      <formula1>$BP$20:$BP$23</formula1>
    </dataValidation>
    <dataValidation type="list" allowBlank="1" showInputMessage="1" showErrorMessage="1" sqref="R22" xr:uid="{F9F99913-64FE-48FF-BF64-16E881E519C6}">
      <formula1>$BN$20:$BN$23</formula1>
    </dataValidation>
    <dataValidation type="list" allowBlank="1" showInputMessage="1" showErrorMessage="1" sqref="AG20" xr:uid="{5010623D-E2A2-42C9-AD9E-526947C12C18}">
      <formula1>$BR$27:$BR$29</formula1>
    </dataValidation>
    <dataValidation type="list" allowBlank="1" showInputMessage="1" showErrorMessage="1" sqref="AV22" xr:uid="{83B77976-379C-4A6B-B4EB-589B499336C3}">
      <formula1>$BN$28:$BN$32</formula1>
    </dataValidation>
    <dataValidation type="list" allowBlank="1" showInputMessage="1" showErrorMessage="1" sqref="C24" xr:uid="{A3C72050-0E58-4794-9DFF-EF2BA9599F70}">
      <formula1>$BL$29:$BL$32</formula1>
    </dataValidation>
  </dataValidation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Block 1</vt:lpstr>
      <vt:lpstr>Block 2</vt:lpstr>
      <vt:lpstr>Block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</dc:creator>
  <cp:lastModifiedBy>Julia Kunzner</cp:lastModifiedBy>
  <dcterms:created xsi:type="dcterms:W3CDTF">2017-11-11T15:52:50Z</dcterms:created>
  <dcterms:modified xsi:type="dcterms:W3CDTF">2020-10-02T15:38:02Z</dcterms:modified>
</cp:coreProperties>
</file>